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10215" activeTab="1"/>
  </bookViews>
  <sheets>
    <sheet name="Land Analysis" sheetId="2" r:id="rId1"/>
    <sheet name="LAPEER CITY" sheetId="3" r:id="rId2"/>
    <sheet name="IMLAY CITY" sheetId="4" r:id="rId3"/>
    <sheet name="ALL OTHER TWPS" sheetId="5" r:id="rId4"/>
    <sheet name="DEER-MAY-LAPEER-MET-DRY=ALM" sheetId="1" r:id="rId5"/>
  </sheets>
  <definedNames>
    <definedName name="_xlnm.Print_Area" localSheetId="3">'ALL OTHER TWPS'!$A$1:$V$27</definedName>
    <definedName name="_xlnm.Print_Area" localSheetId="2">'IMLAY CITY'!$A$1:$U$26</definedName>
    <definedName name="_xlnm.Print_Area" localSheetId="0">'Land Analysis'!$A$1:$U$209</definedName>
    <definedName name="_xlnm.Print_Area" localSheetId="1">'LAPEER CITY'!$A$4:$N$15</definedName>
    <definedName name="_xlnm.Print_Titles" localSheetId="0">'Land Analysis'!$1:$1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I6" i="3" l="1"/>
  <c r="G6" i="3"/>
  <c r="M6" i="3" l="1"/>
  <c r="S8" i="5"/>
  <c r="R8" i="5"/>
  <c r="Q8" i="5"/>
  <c r="K32" i="5" l="1"/>
  <c r="Q32" i="5" s="1"/>
  <c r="I32" i="5"/>
  <c r="K31" i="5"/>
  <c r="R31" i="5" s="1"/>
  <c r="I31" i="5"/>
  <c r="K30" i="5"/>
  <c r="Q30" i="5" s="1"/>
  <c r="I30" i="5"/>
  <c r="K29" i="5"/>
  <c r="Q29" i="5" s="1"/>
  <c r="I29" i="5"/>
  <c r="K10" i="5"/>
  <c r="K28" i="5"/>
  <c r="Q28" i="5" s="1"/>
  <c r="I28" i="5"/>
  <c r="K5" i="1"/>
  <c r="K6" i="1"/>
  <c r="K19" i="1"/>
  <c r="Q20" i="1"/>
  <c r="K20" i="1"/>
  <c r="I20" i="1"/>
  <c r="K34" i="1"/>
  <c r="Q34" i="1" s="1"/>
  <c r="I34" i="1"/>
  <c r="K21" i="1"/>
  <c r="Q21" i="1" s="1"/>
  <c r="I21" i="1"/>
  <c r="K10" i="4"/>
  <c r="K8" i="4"/>
  <c r="K5" i="4"/>
  <c r="K9" i="4"/>
  <c r="R32" i="5" l="1"/>
  <c r="S32" i="5"/>
  <c r="S31" i="5"/>
  <c r="Q31" i="5"/>
  <c r="R29" i="5"/>
  <c r="S29" i="5"/>
  <c r="R28" i="5"/>
  <c r="S28" i="5"/>
  <c r="I5" i="3"/>
  <c r="I7" i="3" s="1"/>
  <c r="G5" i="3"/>
  <c r="M5" i="3" l="1"/>
  <c r="K7" i="4"/>
  <c r="I4" i="4"/>
  <c r="K4" i="4"/>
  <c r="Q4" i="4" s="1"/>
  <c r="K20" i="4"/>
  <c r="S20" i="4" s="1"/>
  <c r="I20" i="4"/>
  <c r="K23" i="1"/>
  <c r="S23" i="1" s="1"/>
  <c r="K33" i="1"/>
  <c r="Q33" i="1" s="1"/>
  <c r="I33" i="1"/>
  <c r="M24" i="1"/>
  <c r="I19" i="1"/>
  <c r="S18" i="1"/>
  <c r="K18" i="1"/>
  <c r="R18" i="1" s="1"/>
  <c r="I18" i="1"/>
  <c r="Q23" i="1"/>
  <c r="I23" i="1"/>
  <c r="K22" i="1"/>
  <c r="R22" i="1" s="1"/>
  <c r="I22" i="1"/>
  <c r="K17" i="1"/>
  <c r="K13" i="1"/>
  <c r="K32" i="1"/>
  <c r="R32" i="1" s="1"/>
  <c r="I32" i="1"/>
  <c r="K31" i="1"/>
  <c r="Q31" i="1" s="1"/>
  <c r="I31" i="1"/>
  <c r="K30" i="1"/>
  <c r="Q30" i="1" s="1"/>
  <c r="I30" i="1"/>
  <c r="K29" i="1"/>
  <c r="R29" i="1" s="1"/>
  <c r="I29" i="1"/>
  <c r="K28" i="1"/>
  <c r="Q28" i="1" s="1"/>
  <c r="I28" i="1"/>
  <c r="K19" i="5"/>
  <c r="K18" i="5"/>
  <c r="K27" i="5"/>
  <c r="Q27" i="5" s="1"/>
  <c r="I27" i="5"/>
  <c r="K6" i="5"/>
  <c r="K26" i="5"/>
  <c r="Q26" i="5" s="1"/>
  <c r="I26" i="5"/>
  <c r="K25" i="5"/>
  <c r="Q25" i="5" s="1"/>
  <c r="I25" i="5"/>
  <c r="K24" i="5"/>
  <c r="Q24" i="5" s="1"/>
  <c r="I24" i="5"/>
  <c r="K23" i="5"/>
  <c r="S23" i="5" s="1"/>
  <c r="I23" i="5"/>
  <c r="M20" i="5"/>
  <c r="R23" i="1" l="1"/>
  <c r="R33" i="1"/>
  <c r="S33" i="1"/>
  <c r="S4" i="4"/>
  <c r="R4" i="4"/>
  <c r="Q20" i="4"/>
  <c r="R20" i="4"/>
  <c r="R30" i="1"/>
  <c r="R31" i="1"/>
  <c r="S22" i="1"/>
  <c r="S30" i="1"/>
  <c r="S31" i="1"/>
  <c r="Q19" i="1"/>
  <c r="R19" i="1"/>
  <c r="S19" i="1"/>
  <c r="Q18" i="1"/>
  <c r="Q22" i="1"/>
  <c r="Q32" i="1"/>
  <c r="S32" i="1"/>
  <c r="R28" i="1"/>
  <c r="S29" i="1"/>
  <c r="S28" i="1"/>
  <c r="Q29" i="1"/>
  <c r="S26" i="5"/>
  <c r="R27" i="5"/>
  <c r="S27" i="5"/>
  <c r="R26" i="5"/>
  <c r="S25" i="5"/>
  <c r="S24" i="5"/>
  <c r="R24" i="5"/>
  <c r="R25" i="5"/>
  <c r="Q23" i="5"/>
  <c r="R23" i="5"/>
  <c r="R10" i="4"/>
  <c r="K2" i="4"/>
  <c r="R2" i="4" s="1"/>
  <c r="S9" i="4"/>
  <c r="K6" i="4"/>
  <c r="K19" i="4"/>
  <c r="S19" i="4" s="1"/>
  <c r="I19" i="4"/>
  <c r="K18" i="4"/>
  <c r="S18" i="4" s="1"/>
  <c r="I18" i="4"/>
  <c r="K17" i="4"/>
  <c r="Q17" i="4" s="1"/>
  <c r="I17" i="4"/>
  <c r="K16" i="4"/>
  <c r="S16" i="4" s="1"/>
  <c r="I16" i="4"/>
  <c r="M11" i="4"/>
  <c r="Q19" i="5"/>
  <c r="I19" i="5"/>
  <c r="R18" i="5"/>
  <c r="I18" i="5"/>
  <c r="K17" i="5"/>
  <c r="R17" i="5" s="1"/>
  <c r="I17" i="5"/>
  <c r="K16" i="5"/>
  <c r="Q16" i="5" s="1"/>
  <c r="I16" i="5"/>
  <c r="K15" i="5"/>
  <c r="R15" i="5" s="1"/>
  <c r="I15" i="5"/>
  <c r="K14" i="5"/>
  <c r="S14" i="5" s="1"/>
  <c r="I14" i="5"/>
  <c r="K13" i="5"/>
  <c r="Q13" i="5" s="1"/>
  <c r="I13" i="5"/>
  <c r="K12" i="5"/>
  <c r="S12" i="5" s="1"/>
  <c r="I12" i="5"/>
  <c r="K11" i="5"/>
  <c r="R11" i="5" s="1"/>
  <c r="I11" i="5"/>
  <c r="Q10" i="5"/>
  <c r="I10" i="5"/>
  <c r="K9" i="5"/>
  <c r="Q9" i="5" s="1"/>
  <c r="I9" i="5"/>
  <c r="K7" i="5"/>
  <c r="S7" i="5" s="1"/>
  <c r="I7" i="5"/>
  <c r="Q6" i="5"/>
  <c r="I6" i="5"/>
  <c r="K5" i="5"/>
  <c r="Q5" i="5" s="1"/>
  <c r="I5" i="5"/>
  <c r="K4" i="5"/>
  <c r="R4" i="5" s="1"/>
  <c r="I4" i="5"/>
  <c r="K3" i="5"/>
  <c r="S3" i="5" s="1"/>
  <c r="I3" i="5"/>
  <c r="K2" i="5"/>
  <c r="R2" i="5" s="1"/>
  <c r="I2" i="5"/>
  <c r="S17" i="1"/>
  <c r="Q17" i="1"/>
  <c r="I17" i="1"/>
  <c r="K16" i="1"/>
  <c r="S16" i="1" s="1"/>
  <c r="I16" i="1"/>
  <c r="K15" i="1"/>
  <c r="S15" i="1" s="1"/>
  <c r="I15" i="1"/>
  <c r="K14" i="1"/>
  <c r="S14" i="1" s="1"/>
  <c r="I14" i="1"/>
  <c r="S13" i="1"/>
  <c r="I13" i="1"/>
  <c r="K12" i="1"/>
  <c r="R12" i="1" s="1"/>
  <c r="I12" i="1"/>
  <c r="K11" i="1"/>
  <c r="Q11" i="1" s="1"/>
  <c r="I11" i="1"/>
  <c r="K10" i="1"/>
  <c r="R10" i="1" s="1"/>
  <c r="I10" i="1"/>
  <c r="K9" i="1"/>
  <c r="S9" i="1" s="1"/>
  <c r="I9" i="1"/>
  <c r="K8" i="1"/>
  <c r="S8" i="1" s="1"/>
  <c r="I8" i="1"/>
  <c r="K7" i="1"/>
  <c r="R7" i="1" s="1"/>
  <c r="I7" i="1"/>
  <c r="S6" i="1"/>
  <c r="I6" i="1"/>
  <c r="Q5" i="1"/>
  <c r="I5" i="1"/>
  <c r="K4" i="1"/>
  <c r="R4" i="1" s="1"/>
  <c r="I4" i="1"/>
  <c r="K3" i="1"/>
  <c r="S3" i="1" s="1"/>
  <c r="I3" i="1"/>
  <c r="K2" i="1"/>
  <c r="K24" i="1" s="1"/>
  <c r="I2" i="1"/>
  <c r="I10" i="4"/>
  <c r="I9" i="4"/>
  <c r="S8" i="4"/>
  <c r="I8" i="4"/>
  <c r="R7" i="4"/>
  <c r="I7" i="4"/>
  <c r="S6" i="4"/>
  <c r="I6" i="4"/>
  <c r="Q5" i="4"/>
  <c r="I5" i="4"/>
  <c r="K3" i="4"/>
  <c r="Q3" i="4" s="1"/>
  <c r="I3" i="4"/>
  <c r="S2" i="4"/>
  <c r="I2" i="4"/>
  <c r="S7" i="1" l="1"/>
  <c r="S12" i="1"/>
  <c r="R11" i="1"/>
  <c r="Q12" i="1"/>
  <c r="R8" i="1"/>
  <c r="S11" i="1"/>
  <c r="S2" i="1"/>
  <c r="N26" i="1"/>
  <c r="Q2" i="1"/>
  <c r="S10" i="1"/>
  <c r="Q14" i="1"/>
  <c r="R2" i="1"/>
  <c r="R5" i="1"/>
  <c r="R14" i="1"/>
  <c r="Q15" i="1"/>
  <c r="S4" i="1"/>
  <c r="S5" i="1"/>
  <c r="Q8" i="1"/>
  <c r="R15" i="1"/>
  <c r="R17" i="1"/>
  <c r="S16" i="5"/>
  <c r="S11" i="5"/>
  <c r="R6" i="5"/>
  <c r="S15" i="5"/>
  <c r="R19" i="5"/>
  <c r="S5" i="5"/>
  <c r="S6" i="5"/>
  <c r="Q11" i="5"/>
  <c r="S19" i="5"/>
  <c r="S4" i="5"/>
  <c r="S10" i="5"/>
  <c r="R13" i="5"/>
  <c r="S18" i="5"/>
  <c r="S2" i="5"/>
  <c r="K20" i="5"/>
  <c r="N22" i="5" s="1"/>
  <c r="S13" i="5"/>
  <c r="S17" i="5"/>
  <c r="Q2" i="5"/>
  <c r="R5" i="5"/>
  <c r="R10" i="5"/>
  <c r="R16" i="5"/>
  <c r="R17" i="4"/>
  <c r="S17" i="4"/>
  <c r="Q19" i="4"/>
  <c r="R19" i="4"/>
  <c r="R5" i="4"/>
  <c r="S5" i="4"/>
  <c r="Q18" i="4"/>
  <c r="R18" i="4"/>
  <c r="S3" i="4"/>
  <c r="S10" i="4"/>
  <c r="Q8" i="4"/>
  <c r="R3" i="4"/>
  <c r="S7" i="4"/>
  <c r="R8" i="4"/>
  <c r="K11" i="4"/>
  <c r="O13" i="4" s="1"/>
  <c r="Q16" i="4"/>
  <c r="R16" i="4"/>
  <c r="Q18" i="5"/>
  <c r="Q17" i="5"/>
  <c r="Q12" i="5"/>
  <c r="Q14" i="5"/>
  <c r="R12" i="5"/>
  <c r="R14" i="5"/>
  <c r="Q15" i="5"/>
  <c r="R9" i="5"/>
  <c r="S9" i="5"/>
  <c r="Q7" i="5"/>
  <c r="R7" i="5"/>
  <c r="Q4" i="5"/>
  <c r="Q3" i="5"/>
  <c r="R3" i="5"/>
  <c r="Q16" i="1"/>
  <c r="R16" i="1"/>
  <c r="Q13" i="1"/>
  <c r="R13" i="1"/>
  <c r="Q10" i="1"/>
  <c r="Q9" i="1"/>
  <c r="R3" i="1"/>
  <c r="Q4" i="1"/>
  <c r="R6" i="1"/>
  <c r="Q7" i="1"/>
  <c r="R9" i="1"/>
  <c r="Q3" i="1"/>
  <c r="Q6" i="1"/>
  <c r="Q6" i="4"/>
  <c r="Q9" i="4"/>
  <c r="Q2" i="4"/>
  <c r="R6" i="4"/>
  <c r="Q7" i="4"/>
  <c r="R9" i="4"/>
  <c r="Q10" i="4"/>
  <c r="S156" i="2" l="1"/>
  <c r="R156" i="2"/>
  <c r="K156" i="2"/>
  <c r="Q156" i="2" s="1"/>
  <c r="I156" i="2"/>
  <c r="K155" i="2" l="1"/>
  <c r="S155" i="2" s="1"/>
  <c r="I155" i="2"/>
  <c r="K154" i="2"/>
  <c r="Q154" i="2" s="1"/>
  <c r="I154" i="2"/>
  <c r="K123" i="2"/>
  <c r="S123" i="2" s="1"/>
  <c r="I123" i="2"/>
  <c r="K153" i="2"/>
  <c r="S153" i="2" s="1"/>
  <c r="I153" i="2"/>
  <c r="K3" i="2"/>
  <c r="Q3" i="2" s="1"/>
  <c r="I3" i="2"/>
  <c r="K152" i="2"/>
  <c r="S152" i="2" s="1"/>
  <c r="I152" i="2"/>
  <c r="K151" i="2"/>
  <c r="S151" i="2" s="1"/>
  <c r="I151" i="2"/>
  <c r="K150" i="2"/>
  <c r="Q150" i="2" s="1"/>
  <c r="I150" i="2"/>
  <c r="K149" i="2"/>
  <c r="R149" i="2" s="1"/>
  <c r="I149" i="2"/>
  <c r="K148" i="2"/>
  <c r="Q148" i="2" s="1"/>
  <c r="I148" i="2"/>
  <c r="K147" i="2"/>
  <c r="R147" i="2" s="1"/>
  <c r="I147" i="2"/>
  <c r="K146" i="2"/>
  <c r="S146" i="2" s="1"/>
  <c r="I146" i="2"/>
  <c r="K132" i="2"/>
  <c r="Q132" i="2" s="1"/>
  <c r="I132" i="2"/>
  <c r="K31" i="2"/>
  <c r="S31" i="2" s="1"/>
  <c r="I31" i="2"/>
  <c r="K30" i="2"/>
  <c r="S30" i="2" s="1"/>
  <c r="I30" i="2"/>
  <c r="K62" i="2"/>
  <c r="S62" i="2" s="1"/>
  <c r="I62" i="2"/>
  <c r="K61" i="2"/>
  <c r="R61" i="2" s="1"/>
  <c r="I61" i="2"/>
  <c r="K60" i="2"/>
  <c r="Q60" i="2" s="1"/>
  <c r="I60" i="2"/>
  <c r="K59" i="2"/>
  <c r="R59" i="2" s="1"/>
  <c r="I59" i="2"/>
  <c r="K58" i="2"/>
  <c r="S58" i="2" s="1"/>
  <c r="I58" i="2"/>
  <c r="K57" i="2"/>
  <c r="Q57" i="2" s="1"/>
  <c r="I57" i="2"/>
  <c r="K56" i="2"/>
  <c r="Q56" i="2" s="1"/>
  <c r="I56" i="2"/>
  <c r="K55" i="2"/>
  <c r="R55" i="2" s="1"/>
  <c r="I55" i="2"/>
  <c r="K54" i="2"/>
  <c r="R54" i="2" s="1"/>
  <c r="I54" i="2"/>
  <c r="K17" i="2"/>
  <c r="R17" i="2" s="1"/>
  <c r="I17" i="2"/>
  <c r="K16" i="2"/>
  <c r="S16" i="2" s="1"/>
  <c r="I16" i="2"/>
  <c r="K12" i="2"/>
  <c r="S12" i="2" s="1"/>
  <c r="I12" i="2"/>
  <c r="K11" i="2"/>
  <c r="Q11" i="2" s="1"/>
  <c r="I11" i="2"/>
  <c r="K10" i="2"/>
  <c r="S10" i="2" s="1"/>
  <c r="I10" i="2"/>
  <c r="K9" i="2"/>
  <c r="R9" i="2" s="1"/>
  <c r="I9" i="2"/>
  <c r="K8" i="2"/>
  <c r="Q8" i="2" s="1"/>
  <c r="I8" i="2"/>
  <c r="K7" i="2"/>
  <c r="Q7" i="2" s="1"/>
  <c r="I7" i="2"/>
  <c r="K6" i="2"/>
  <c r="R6" i="2" s="1"/>
  <c r="I6" i="2"/>
  <c r="I4" i="2"/>
  <c r="K4" i="2"/>
  <c r="Q4" i="2" s="1"/>
  <c r="I5" i="2"/>
  <c r="K5" i="2"/>
  <c r="I15" i="2"/>
  <c r="K15" i="2"/>
  <c r="R15" i="2" s="1"/>
  <c r="I20" i="2"/>
  <c r="K20" i="2"/>
  <c r="R20" i="2" s="1"/>
  <c r="I21" i="2"/>
  <c r="K21" i="2"/>
  <c r="Q21" i="2" s="1"/>
  <c r="I24" i="2"/>
  <c r="K24" i="2"/>
  <c r="R24" i="2" s="1"/>
  <c r="I25" i="2"/>
  <c r="K25" i="2"/>
  <c r="R25" i="2" s="1"/>
  <c r="I28" i="2"/>
  <c r="K28" i="2"/>
  <c r="Q28" i="2" s="1"/>
  <c r="I29" i="2"/>
  <c r="K29" i="2"/>
  <c r="R29" i="2" s="1"/>
  <c r="I34" i="2"/>
  <c r="K34" i="2"/>
  <c r="R34" i="2" s="1"/>
  <c r="I35" i="2"/>
  <c r="K35" i="2"/>
  <c r="Q35" i="2" s="1"/>
  <c r="I38" i="2"/>
  <c r="K38" i="2"/>
  <c r="R38" i="2" s="1"/>
  <c r="I41" i="2"/>
  <c r="K41" i="2"/>
  <c r="R41" i="2" s="1"/>
  <c r="I44" i="2"/>
  <c r="K44" i="2"/>
  <c r="R44" i="2" s="1"/>
  <c r="I45" i="2"/>
  <c r="K45" i="2"/>
  <c r="Q45" i="2" s="1"/>
  <c r="I46" i="2"/>
  <c r="K46" i="2"/>
  <c r="R46" i="2" s="1"/>
  <c r="I49" i="2"/>
  <c r="K49" i="2"/>
  <c r="R49" i="2" s="1"/>
  <c r="I50" i="2"/>
  <c r="K50" i="2"/>
  <c r="Q50" i="2" s="1"/>
  <c r="I53" i="2"/>
  <c r="K53" i="2"/>
  <c r="R53" i="2" s="1"/>
  <c r="I65" i="2"/>
  <c r="K65" i="2"/>
  <c r="R65" i="2" s="1"/>
  <c r="I66" i="2"/>
  <c r="K66" i="2"/>
  <c r="R66" i="2" s="1"/>
  <c r="I67" i="2"/>
  <c r="K67" i="2"/>
  <c r="Q67" i="2" s="1"/>
  <c r="I68" i="2"/>
  <c r="K68" i="2"/>
  <c r="R68" i="2" s="1"/>
  <c r="I71" i="2"/>
  <c r="K71" i="2"/>
  <c r="R71" i="2" s="1"/>
  <c r="I72" i="2"/>
  <c r="K72" i="2"/>
  <c r="R72" i="2" s="1"/>
  <c r="I73" i="2"/>
  <c r="K73" i="2"/>
  <c r="R73" i="2" s="1"/>
  <c r="I74" i="2"/>
  <c r="K74" i="2"/>
  <c r="R74" i="2" s="1"/>
  <c r="I75" i="2"/>
  <c r="K75" i="2"/>
  <c r="R75" i="2" s="1"/>
  <c r="I78" i="2"/>
  <c r="K78" i="2"/>
  <c r="Q78" i="2" s="1"/>
  <c r="I81" i="2"/>
  <c r="K81" i="2"/>
  <c r="R81" i="2" s="1"/>
  <c r="I82" i="2"/>
  <c r="K82" i="2"/>
  <c r="R82" i="2" s="1"/>
  <c r="I85" i="2"/>
  <c r="K85" i="2"/>
  <c r="R85" i="2" s="1"/>
  <c r="I86" i="2"/>
  <c r="K86" i="2"/>
  <c r="Q86" i="2" s="1"/>
  <c r="I87" i="2"/>
  <c r="K87" i="2"/>
  <c r="R87" i="2" s="1"/>
  <c r="I88" i="2"/>
  <c r="K88" i="2"/>
  <c r="Q88" i="2" s="1"/>
  <c r="I89" i="2"/>
  <c r="K89" i="2"/>
  <c r="R89" i="2" s="1"/>
  <c r="I90" i="2"/>
  <c r="K90" i="2"/>
  <c r="R90" i="2" s="1"/>
  <c r="I91" i="2"/>
  <c r="K91" i="2"/>
  <c r="Q91" i="2" s="1"/>
  <c r="I92" i="2"/>
  <c r="K92" i="2"/>
  <c r="R92" i="2" s="1"/>
  <c r="I93" i="2"/>
  <c r="K93" i="2"/>
  <c r="R93" i="2" s="1"/>
  <c r="I94" i="2"/>
  <c r="K94" i="2"/>
  <c r="Q94" i="2" s="1"/>
  <c r="I95" i="2"/>
  <c r="K95" i="2"/>
  <c r="S95" i="2" s="1"/>
  <c r="I96" i="2"/>
  <c r="K96" i="2"/>
  <c r="Q96" i="2" s="1"/>
  <c r="I97" i="2"/>
  <c r="K97" i="2"/>
  <c r="Q97" i="2" s="1"/>
  <c r="I100" i="2"/>
  <c r="K100" i="2"/>
  <c r="R100" i="2" s="1"/>
  <c r="I101" i="2"/>
  <c r="K101" i="2"/>
  <c r="Q101" i="2" s="1"/>
  <c r="I102" i="2"/>
  <c r="K102" i="2"/>
  <c r="Q102" i="2" s="1"/>
  <c r="I103" i="2"/>
  <c r="K103" i="2"/>
  <c r="R103" i="2" s="1"/>
  <c r="I104" i="2"/>
  <c r="K104" i="2"/>
  <c r="Q104" i="2" s="1"/>
  <c r="I105" i="2"/>
  <c r="K105" i="2"/>
  <c r="Q105" i="2" s="1"/>
  <c r="I106" i="2"/>
  <c r="K106" i="2"/>
  <c r="R106" i="2" s="1"/>
  <c r="I107" i="2"/>
  <c r="K107" i="2"/>
  <c r="Q107" i="2" s="1"/>
  <c r="I108" i="2"/>
  <c r="K108" i="2"/>
  <c r="Q108" i="2" s="1"/>
  <c r="I109" i="2"/>
  <c r="K109" i="2"/>
  <c r="S109" i="2" s="1"/>
  <c r="I110" i="2"/>
  <c r="K110" i="2"/>
  <c r="R110" i="2" s="1"/>
  <c r="I111" i="2"/>
  <c r="K111" i="2"/>
  <c r="Q111" i="2" s="1"/>
  <c r="I112" i="2"/>
  <c r="K112" i="2"/>
  <c r="Q112" i="2" s="1"/>
  <c r="I113" i="2"/>
  <c r="K113" i="2"/>
  <c r="S113" i="2" s="1"/>
  <c r="I114" i="2"/>
  <c r="K114" i="2"/>
  <c r="R114" i="2" s="1"/>
  <c r="I115" i="2"/>
  <c r="K115" i="2"/>
  <c r="Q115" i="2" s="1"/>
  <c r="I116" i="2"/>
  <c r="K116" i="2"/>
  <c r="Q116" i="2" s="1"/>
  <c r="I117" i="2"/>
  <c r="K117" i="2"/>
  <c r="S117" i="2" s="1"/>
  <c r="I118" i="2"/>
  <c r="K118" i="2"/>
  <c r="R118" i="2" s="1"/>
  <c r="I119" i="2"/>
  <c r="K119" i="2"/>
  <c r="R119" i="2" s="1"/>
  <c r="I120" i="2"/>
  <c r="K120" i="2"/>
  <c r="Q120" i="2" s="1"/>
  <c r="I121" i="2"/>
  <c r="K121" i="2"/>
  <c r="Q121" i="2" s="1"/>
  <c r="I122" i="2"/>
  <c r="K122" i="2"/>
  <c r="Q122" i="2" s="1"/>
  <c r="D125" i="2"/>
  <c r="G125" i="2"/>
  <c r="H125" i="2"/>
  <c r="J125" i="2"/>
  <c r="L125" i="2"/>
  <c r="M125" i="2"/>
  <c r="O125" i="2"/>
  <c r="P125" i="2"/>
  <c r="Q155" i="2" l="1"/>
  <c r="R155" i="2"/>
  <c r="R154" i="2"/>
  <c r="S154" i="2"/>
  <c r="R3" i="2"/>
  <c r="R123" i="2"/>
  <c r="Q123" i="2"/>
  <c r="S3" i="2"/>
  <c r="Q153" i="2"/>
  <c r="R153" i="2"/>
  <c r="Q152" i="2"/>
  <c r="R152" i="2"/>
  <c r="R150" i="2"/>
  <c r="S149" i="2"/>
  <c r="S150" i="2"/>
  <c r="S148" i="2"/>
  <c r="Q151" i="2"/>
  <c r="R151" i="2"/>
  <c r="R148" i="2"/>
  <c r="Q149" i="2"/>
  <c r="S147" i="2"/>
  <c r="Q146" i="2"/>
  <c r="R146" i="2"/>
  <c r="Q147" i="2"/>
  <c r="S56" i="2"/>
  <c r="S59" i="2"/>
  <c r="R132" i="2"/>
  <c r="S132" i="2"/>
  <c r="Q30" i="2"/>
  <c r="S91" i="2"/>
  <c r="S54" i="2"/>
  <c r="Q59" i="2"/>
  <c r="R30" i="2"/>
  <c r="Q31" i="2"/>
  <c r="R31" i="2"/>
  <c r="S34" i="2"/>
  <c r="S61" i="2"/>
  <c r="S108" i="2"/>
  <c r="R11" i="2"/>
  <c r="R58" i="2"/>
  <c r="Q54" i="2"/>
  <c r="R56" i="2"/>
  <c r="Q61" i="2"/>
  <c r="R62" i="2"/>
  <c r="R57" i="2"/>
  <c r="R60" i="2"/>
  <c r="S57" i="2"/>
  <c r="Q58" i="2"/>
  <c r="S60" i="2"/>
  <c r="Q62" i="2"/>
  <c r="R50" i="2"/>
  <c r="S9" i="2"/>
  <c r="S17" i="2"/>
  <c r="R102" i="2"/>
  <c r="S67" i="2"/>
  <c r="S55" i="2"/>
  <c r="Q55" i="2"/>
  <c r="S121" i="2"/>
  <c r="R108" i="2"/>
  <c r="S100" i="2"/>
  <c r="S88" i="2"/>
  <c r="S74" i="2"/>
  <c r="S50" i="2"/>
  <c r="S28" i="2"/>
  <c r="R88" i="2"/>
  <c r="R28" i="2"/>
  <c r="S97" i="2"/>
  <c r="Q95" i="2"/>
  <c r="S65" i="2"/>
  <c r="S45" i="2"/>
  <c r="Q16" i="2"/>
  <c r="R16" i="2"/>
  <c r="Q17" i="2"/>
  <c r="S122" i="2"/>
  <c r="R45" i="2"/>
  <c r="Q34" i="2"/>
  <c r="Q36" i="2" s="1"/>
  <c r="S4" i="2"/>
  <c r="R8" i="2"/>
  <c r="R122" i="2"/>
  <c r="R121" i="2"/>
  <c r="S116" i="2"/>
  <c r="R91" i="2"/>
  <c r="S46" i="2"/>
  <c r="R4" i="2"/>
  <c r="R7" i="2"/>
  <c r="S102" i="2"/>
  <c r="S101" i="2"/>
  <c r="S93" i="2"/>
  <c r="S78" i="2"/>
  <c r="Q46" i="2"/>
  <c r="S35" i="2"/>
  <c r="Q117" i="2"/>
  <c r="R116" i="2"/>
  <c r="S115" i="2"/>
  <c r="S114" i="2"/>
  <c r="R113" i="2"/>
  <c r="S112" i="2"/>
  <c r="S105" i="2"/>
  <c r="Q103" i="2"/>
  <c r="R101" i="2"/>
  <c r="Q100" i="2"/>
  <c r="R97" i="2"/>
  <c r="S96" i="2"/>
  <c r="R95" i="2"/>
  <c r="S94" i="2"/>
  <c r="Q93" i="2"/>
  <c r="S86" i="2"/>
  <c r="S82" i="2"/>
  <c r="R78" i="2"/>
  <c r="Q74" i="2"/>
  <c r="S71" i="2"/>
  <c r="R67" i="2"/>
  <c r="Q65" i="2"/>
  <c r="R35" i="2"/>
  <c r="S21" i="2"/>
  <c r="S15" i="2"/>
  <c r="K125" i="2"/>
  <c r="M127" i="2" s="1"/>
  <c r="Q6" i="2"/>
  <c r="S7" i="2"/>
  <c r="I127" i="2"/>
  <c r="Q118" i="2"/>
  <c r="R115" i="2"/>
  <c r="Q114" i="2"/>
  <c r="Q113" i="2"/>
  <c r="R112" i="2"/>
  <c r="S111" i="2"/>
  <c r="S110" i="2"/>
  <c r="R109" i="2"/>
  <c r="R105" i="2"/>
  <c r="R104" i="2"/>
  <c r="R96" i="2"/>
  <c r="R94" i="2"/>
  <c r="R86" i="2"/>
  <c r="Q82" i="2"/>
  <c r="Q71" i="2"/>
  <c r="S41" i="2"/>
  <c r="S24" i="2"/>
  <c r="R21" i="2"/>
  <c r="Q15" i="2"/>
  <c r="S6" i="2"/>
  <c r="R111" i="2"/>
  <c r="Q110" i="2"/>
  <c r="Q109" i="2"/>
  <c r="Q41" i="2"/>
  <c r="Q24" i="2"/>
  <c r="Q9" i="2"/>
  <c r="I126" i="2"/>
  <c r="S8" i="2"/>
  <c r="Q10" i="2"/>
  <c r="S11" i="2"/>
  <c r="Q12" i="2"/>
  <c r="R10" i="2"/>
  <c r="R12" i="2"/>
  <c r="S120" i="2"/>
  <c r="S119" i="2"/>
  <c r="S107" i="2"/>
  <c r="S106" i="2"/>
  <c r="Q89" i="2"/>
  <c r="S89" i="2"/>
  <c r="S87" i="2"/>
  <c r="Q87" i="2"/>
  <c r="Q81" i="2"/>
  <c r="Q83" i="2" s="1"/>
  <c r="S81" i="2"/>
  <c r="Q53" i="2"/>
  <c r="S53" i="2"/>
  <c r="S49" i="2"/>
  <c r="Q49" i="2"/>
  <c r="Q51" i="2" s="1"/>
  <c r="S20" i="2"/>
  <c r="Q20" i="2"/>
  <c r="Q22" i="2" s="1"/>
  <c r="R120" i="2"/>
  <c r="Q119" i="2"/>
  <c r="S118" i="2"/>
  <c r="R117" i="2"/>
  <c r="R107" i="2"/>
  <c r="Q106" i="2"/>
  <c r="S104" i="2"/>
  <c r="S103" i="2"/>
  <c r="Q92" i="2"/>
  <c r="S92" i="2"/>
  <c r="S90" i="2"/>
  <c r="Q90" i="2"/>
  <c r="Q68" i="2"/>
  <c r="S68" i="2"/>
  <c r="S66" i="2"/>
  <c r="Q66" i="2"/>
  <c r="Q29" i="2"/>
  <c r="S29" i="2"/>
  <c r="S25" i="2"/>
  <c r="Q25" i="2"/>
  <c r="Q73" i="2"/>
  <c r="S73" i="2"/>
  <c r="S72" i="2"/>
  <c r="Q72" i="2"/>
  <c r="Q38" i="2"/>
  <c r="S38" i="2"/>
  <c r="Q5" i="2"/>
  <c r="R5" i="2"/>
  <c r="S5" i="2"/>
  <c r="S85" i="2"/>
  <c r="Q85" i="2"/>
  <c r="Q98" i="2" s="1"/>
  <c r="S75" i="2"/>
  <c r="Q75" i="2"/>
  <c r="S44" i="2"/>
  <c r="Q44" i="2"/>
  <c r="Q32" i="2" l="1"/>
  <c r="Q26" i="2"/>
  <c r="Q124" i="2"/>
  <c r="Q47" i="2"/>
  <c r="Q13" i="2"/>
  <c r="Q63" i="2"/>
  <c r="Q69" i="2"/>
  <c r="Q18" i="2"/>
  <c r="Q76" i="2"/>
  <c r="P127" i="2"/>
  <c r="S127" i="2"/>
</calcChain>
</file>

<file path=xl/sharedStrings.xml><?xml version="1.0" encoding="utf-8"?>
<sst xmlns="http://schemas.openxmlformats.org/spreadsheetml/2006/main" count="951" uniqueCount="322">
  <si>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</si>
  <si>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</si>
  <si>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</si>
  <si>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</si>
  <si>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</si>
  <si>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</si>
  <si>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</si>
  <si>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</si>
  <si>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</si>
  <si>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</si>
  <si>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</si>
  <si>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</si>
  <si>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</si>
  <si>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</si>
  <si>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</si>
  <si>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</si>
  <si>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</si>
  <si>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</si>
  <si>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</si>
  <si>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</si>
  <si>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Other Parcels in Sale</t>
  </si>
  <si>
    <t>001-009-013-10</t>
  </si>
  <si>
    <t>3589 VAN DYKE RD</t>
  </si>
  <si>
    <t>WD</t>
  </si>
  <si>
    <t>03-ARM'S LENGTH</t>
  </si>
  <si>
    <t>001-016-015-00</t>
  </si>
  <si>
    <t>4260 VAN DYKE RD (101-110)</t>
  </si>
  <si>
    <t>001-021-004-00</t>
  </si>
  <si>
    <t>VAN DYKE RD</t>
  </si>
  <si>
    <t>004-024-001-08</t>
  </si>
  <si>
    <t>8395 CARGILL</t>
  </si>
  <si>
    <t>005-128-011-00</t>
  </si>
  <si>
    <t>7550 VAN DYKE</t>
  </si>
  <si>
    <t>006-009-029-00</t>
  </si>
  <si>
    <t>6002 N LAPEER</t>
  </si>
  <si>
    <t>006-021-015-10</t>
  </si>
  <si>
    <t>5388 N LAPEER</t>
  </si>
  <si>
    <t>MLC</t>
  </si>
  <si>
    <t>006-029-006-00</t>
  </si>
  <si>
    <t>4979 N LAPEER</t>
  </si>
  <si>
    <t>007-011-042-00</t>
  </si>
  <si>
    <t>DRYDEN RD/ROCHESTER RD</t>
  </si>
  <si>
    <t>007-011-042-20</t>
  </si>
  <si>
    <t>5075 DRYDEN RD</t>
  </si>
  <si>
    <t>008-005-043-00</t>
  </si>
  <si>
    <t>5420 DAVISON RD</t>
  </si>
  <si>
    <t>008-011-007-30</t>
  </si>
  <si>
    <t>396 LAKE NEPESSING RD</t>
  </si>
  <si>
    <t>008-019-001-00</t>
  </si>
  <si>
    <t>1550 S ELBA RD</t>
  </si>
  <si>
    <t>009-032-043-10</t>
  </si>
  <si>
    <t>1015 N VAN DYKE RD</t>
  </si>
  <si>
    <t>010-104-003-00</t>
  </si>
  <si>
    <t>3520 HADLEY RD</t>
  </si>
  <si>
    <t>011-004-003-00</t>
  </si>
  <si>
    <t>7256 BOWERS</t>
  </si>
  <si>
    <t>011-005-042-00</t>
  </si>
  <si>
    <t>819 N VAN DYKE RD</t>
  </si>
  <si>
    <t>19-MULTI PARCEL ARM'S LENGTH</t>
  </si>
  <si>
    <t>011-005-037-20</t>
  </si>
  <si>
    <t>011-015-029-00</t>
  </si>
  <si>
    <t>7847 IMLAY CITY RD</t>
  </si>
  <si>
    <t>011-018-054-00</t>
  </si>
  <si>
    <t>151 N BLACKS CORNERS RD</t>
  </si>
  <si>
    <t>012-001-034-00</t>
  </si>
  <si>
    <t>2610 IMLAY CITY RD</t>
  </si>
  <si>
    <t>012-001-035-00, 012-012-013-10, 012-001-031-00</t>
  </si>
  <si>
    <t>012-029-044-20</t>
  </si>
  <si>
    <t>2450 S LAPEER RD</t>
  </si>
  <si>
    <t>013-006-009-00</t>
  </si>
  <si>
    <t>6727 SHERMAN</t>
  </si>
  <si>
    <t>013-006-010-00, 047-636-001-00</t>
  </si>
  <si>
    <t>014-021-016-10</t>
  </si>
  <si>
    <t>2226 N LAPEER</t>
  </si>
  <si>
    <t>014-021-017-20</t>
  </si>
  <si>
    <t>014-021-019-00</t>
  </si>
  <si>
    <t>2240 N LAPEER</t>
  </si>
  <si>
    <t>014-028-023-04</t>
  </si>
  <si>
    <t>N LAPEER</t>
  </si>
  <si>
    <t>014-029-026-00</t>
  </si>
  <si>
    <t>1879 N LAPEER</t>
  </si>
  <si>
    <t>015-005-030-00</t>
  </si>
  <si>
    <t>3420 S LAPEER RD</t>
  </si>
  <si>
    <t>015-005-034-00</t>
  </si>
  <si>
    <t>3477 S LAPEER RD</t>
  </si>
  <si>
    <t>015-008-002-00</t>
  </si>
  <si>
    <t>3539 S LAPEER RD</t>
  </si>
  <si>
    <t>015-008-016-00</t>
  </si>
  <si>
    <t>3546 S LAPEER RD</t>
  </si>
  <si>
    <t>015-017-009-12</t>
  </si>
  <si>
    <t>4106 S LAPEER RD</t>
  </si>
  <si>
    <t>015-017-009-41</t>
  </si>
  <si>
    <t>4082 S LAPEER RD</t>
  </si>
  <si>
    <t>017-650-001-00</t>
  </si>
  <si>
    <t>3892 BRONSON LAKE RD</t>
  </si>
  <si>
    <t>041-130-006-02</t>
  </si>
  <si>
    <t>4611 N VAN DYKE RD</t>
  </si>
  <si>
    <t>041-475-002-80</t>
  </si>
  <si>
    <t>141 S MAIN ST</t>
  </si>
  <si>
    <t>041-475-004-00</t>
  </si>
  <si>
    <t>145 S MAIN ST</t>
  </si>
  <si>
    <t>041-475-099-00</t>
  </si>
  <si>
    <t>215 BRANCH ST</t>
  </si>
  <si>
    <t>041-501-005-00</t>
  </si>
  <si>
    <t>126 N MAIN ST</t>
  </si>
  <si>
    <t>041-521-039-00</t>
  </si>
  <si>
    <t>750 VAN DYKE RD</t>
  </si>
  <si>
    <t>041-521-043-00</t>
  </si>
  <si>
    <t>041-521-041-00</t>
  </si>
  <si>
    <t>780 VAN DYKE RD</t>
  </si>
  <si>
    <t>LC</t>
  </si>
  <si>
    <t>041-522-025-00</t>
  </si>
  <si>
    <t>402 N MAIN ST</t>
  </si>
  <si>
    <t>041-522-034-00</t>
  </si>
  <si>
    <t>231 E ST CLAIR</t>
  </si>
  <si>
    <t>041-528-027-10</t>
  </si>
  <si>
    <t>601 W ST CLAIR</t>
  </si>
  <si>
    <t>042-103-003-00</t>
  </si>
  <si>
    <t>4672 MARLETTE</t>
  </si>
  <si>
    <t>042-215-005-50</t>
  </si>
  <si>
    <t>9653 MAIN</t>
  </si>
  <si>
    <t>043-353-006-50</t>
  </si>
  <si>
    <t>4484 FIRST</t>
  </si>
  <si>
    <t>043-507-001-00</t>
  </si>
  <si>
    <t>4707 WATER</t>
  </si>
  <si>
    <t>043-507-007-00</t>
  </si>
  <si>
    <t>4476 THIRD</t>
  </si>
  <si>
    <t>043-520-022-00</t>
  </si>
  <si>
    <t>4469 FIFTH</t>
  </si>
  <si>
    <t>044-011-009-00</t>
  </si>
  <si>
    <t>MILL ST</t>
  </si>
  <si>
    <t>044-012-003-20</t>
  </si>
  <si>
    <t>5689 DRYDEN RD</t>
  </si>
  <si>
    <t>044-404-003-60</t>
  </si>
  <si>
    <t>5510 MAIN ST</t>
  </si>
  <si>
    <t>044-404-003-30</t>
  </si>
  <si>
    <t>046-305-049-00</t>
  </si>
  <si>
    <t>3820 HURON ST</t>
  </si>
  <si>
    <t>046-305-053-01</t>
  </si>
  <si>
    <t>6693 BEECH ST</t>
  </si>
  <si>
    <t>046-525-001-00</t>
  </si>
  <si>
    <t>6756 LINCOLN ST</t>
  </si>
  <si>
    <t>047-608-004-00</t>
  </si>
  <si>
    <t>5754 GENESEE</t>
  </si>
  <si>
    <t>047-608-006-00</t>
  </si>
  <si>
    <t>047-613-003-00</t>
  </si>
  <si>
    <t>5757 GENESEE</t>
  </si>
  <si>
    <t>047-625-100-00</t>
  </si>
  <si>
    <t>5909 LAKE</t>
  </si>
  <si>
    <t>047-652-002-00</t>
  </si>
  <si>
    <t>6424 DETROIT</t>
  </si>
  <si>
    <t>047-652-007-00</t>
  </si>
  <si>
    <t>6400 DETROIT</t>
  </si>
  <si>
    <t>I19-58-901-000-00</t>
  </si>
  <si>
    <t>100 N MAIN</t>
  </si>
  <si>
    <t>I19-59-701-000-00</t>
  </si>
  <si>
    <t>230 E THIRD</t>
  </si>
  <si>
    <t>I19-61-900-000-00</t>
  </si>
  <si>
    <t>131 E THIRD</t>
  </si>
  <si>
    <t>I19-70-000-000-00</t>
  </si>
  <si>
    <t>404 N ALMONT</t>
  </si>
  <si>
    <t>I19-74-100-000-00</t>
  </si>
  <si>
    <t>546 N CEDAR</t>
  </si>
  <si>
    <t>I19-77-100-000-00</t>
  </si>
  <si>
    <t>605 N CEDAR</t>
  </si>
  <si>
    <t>I19-78-303-000-00</t>
  </si>
  <si>
    <t>365 W CAPAC</t>
  </si>
  <si>
    <t>I19-82-001-000-00</t>
  </si>
  <si>
    <t>N CEDAR</t>
  </si>
  <si>
    <t>I19-84-603-000-00</t>
  </si>
  <si>
    <t>445 COLONIAL</t>
  </si>
  <si>
    <t>I19-85-234-040-00</t>
  </si>
  <si>
    <t>1872 S CEDAR</t>
  </si>
  <si>
    <t>I19-85-233-040-00, I19-85-229-040-00</t>
  </si>
  <si>
    <t>I19-85-248-045-00</t>
  </si>
  <si>
    <t>S ALMONT</t>
  </si>
  <si>
    <t>I19-85-251-040-00</t>
  </si>
  <si>
    <t>6951 NEWARK</t>
  </si>
  <si>
    <t>I19-85-253-040-00</t>
  </si>
  <si>
    <t>1995 S CEDAR ST</t>
  </si>
  <si>
    <t>I19-85-256-040-00</t>
  </si>
  <si>
    <t>NEWARK</t>
  </si>
  <si>
    <t>I19-85-256-040-20</t>
  </si>
  <si>
    <t>I19-87-600-000-00</t>
  </si>
  <si>
    <t>585 N MAIN</t>
  </si>
  <si>
    <t>I19-92-400-020-00</t>
  </si>
  <si>
    <t>279 W CAPAC RD</t>
  </si>
  <si>
    <t>I20-13-500-000-00</t>
  </si>
  <si>
    <t>510 S CEDAR ST</t>
  </si>
  <si>
    <t>I20-24-115-000-00</t>
  </si>
  <si>
    <t>1761 S CEDAR</t>
  </si>
  <si>
    <t>L20-00-900-040-00</t>
  </si>
  <si>
    <t>129 W NEPESSING ST</t>
  </si>
  <si>
    <t>L20-00-800-040-00, L20-01-000-040-00, L20-01-200-040-00</t>
  </si>
  <si>
    <t>L20-02-800-040-00</t>
  </si>
  <si>
    <t>411 W NEPESSING ST</t>
  </si>
  <si>
    <t>L20-09-600-040-00</t>
  </si>
  <si>
    <t>324 W NEPESSING ST</t>
  </si>
  <si>
    <t>L20-16-100-040-00</t>
  </si>
  <si>
    <t>534 PINE ST</t>
  </si>
  <si>
    <t>L20-18-700-040-00</t>
  </si>
  <si>
    <t>606 N SAGINAW ST</t>
  </si>
  <si>
    <t>L20-38-800-040-00</t>
  </si>
  <si>
    <t>47 POPE ST</t>
  </si>
  <si>
    <t>L20-69-700-040-00</t>
  </si>
  <si>
    <t>624 W NEPESSING ST</t>
  </si>
  <si>
    <t>L20-74-901-040-00</t>
  </si>
  <si>
    <t>640 W GENESEE ST</t>
  </si>
  <si>
    <t>L20-83-304-040-00</t>
  </si>
  <si>
    <t>3274 DAVISON RD</t>
  </si>
  <si>
    <t>L20-83-304-140-00</t>
  </si>
  <si>
    <t>L20-83-322-050-00</t>
  </si>
  <si>
    <t>3273 DAVISON RD</t>
  </si>
  <si>
    <t>L20-93-303-040-00</t>
  </si>
  <si>
    <t>2188 W GENESEE ST</t>
  </si>
  <si>
    <t>L21-04-300-030-00</t>
  </si>
  <si>
    <t>W GENESEE ST</t>
  </si>
  <si>
    <t>L21-16-550-008-00</t>
  </si>
  <si>
    <t>1101 S MAIN ST</t>
  </si>
  <si>
    <t>L21-16-550-025-00</t>
  </si>
  <si>
    <t>L21-16-550-012-10</t>
  </si>
  <si>
    <t>S MAIN ST</t>
  </si>
  <si>
    <t>L21-18-180-023-00</t>
  </si>
  <si>
    <t>3090 DAVISON RD</t>
  </si>
  <si>
    <t>L21-23-601-040-00</t>
  </si>
  <si>
    <t>9 W GENESEE ST</t>
  </si>
  <si>
    <t>L21-24-800-040-00</t>
  </si>
  <si>
    <t>108 HOWARD ST</t>
  </si>
  <si>
    <t>L21-33-204-040-00</t>
  </si>
  <si>
    <t>EAST ST</t>
  </si>
  <si>
    <t>L21-33-206-040-00</t>
  </si>
  <si>
    <t>L21-53-200-040-00</t>
  </si>
  <si>
    <t>957 TURRILL AVE</t>
  </si>
  <si>
    <t>L21-54-400-040-00</t>
  </si>
  <si>
    <t>L21-57-800-040-00</t>
  </si>
  <si>
    <t>558 S MAIN ST</t>
  </si>
  <si>
    <t>L21-60-600-040-00</t>
  </si>
  <si>
    <t>888 S MAIN ST</t>
  </si>
  <si>
    <t>L21-62-802-040-00</t>
  </si>
  <si>
    <t>169 W NEPESSING ST</t>
  </si>
  <si>
    <t>L21-62-805-040-00</t>
  </si>
  <si>
    <t>350 N COURT ST</t>
  </si>
  <si>
    <t>L21-62-806-040-00</t>
  </si>
  <si>
    <t>L21-62-807-040-00</t>
  </si>
  <si>
    <t>L21-64-603-040-00</t>
  </si>
  <si>
    <t>814 S MAIN ST</t>
  </si>
  <si>
    <t>L21-69-275-001-00</t>
  </si>
  <si>
    <t>200 E GENESEE ST</t>
  </si>
  <si>
    <t>L21-69-275-003-00</t>
  </si>
  <si>
    <t>208 E GENESEE ST</t>
  </si>
  <si>
    <t>L21-69-275-008-00</t>
  </si>
  <si>
    <t>228 E GENESEE ST</t>
  </si>
  <si>
    <t>L22-04-100-040-00</t>
  </si>
  <si>
    <t>1406 N SAGINAW ST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</si>
  <si>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</si>
  <si>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</si>
  <si>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</si>
  <si>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</si>
  <si>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</si>
  <si>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</si>
  <si>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</si>
  <si>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Removed From Study</t>
  </si>
  <si>
    <t>exempt when sold</t>
  </si>
  <si>
    <t>transfer exempt to exempt</t>
  </si>
  <si>
    <t>ALMONT/VILLAGE OF ALMONT</t>
  </si>
  <si>
    <t>BURLINGTON/VILLAGE OF CLIFFORD</t>
  </si>
  <si>
    <t>BURNSIDE</t>
  </si>
  <si>
    <t>DEERFIELD</t>
  </si>
  <si>
    <t>DRYDEN/VILLAGE OF DRYDEN</t>
  </si>
  <si>
    <t>ELBA</t>
  </si>
  <si>
    <t>GOODLAND</t>
  </si>
  <si>
    <t>HADLEY</t>
  </si>
  <si>
    <t>IMLAY TOWNSHIP</t>
  </si>
  <si>
    <t>LAPEER TOWNSHIP</t>
  </si>
  <si>
    <t>MARATHON/VILLAGE OF OTTER LAKE/VILLAGE OF COLUMBIAVILLE</t>
  </si>
  <si>
    <t>MAYFIELD</t>
  </si>
  <si>
    <t>METAMORA/VILLAGE OF METAMORA</t>
  </si>
  <si>
    <t>OREGON</t>
  </si>
  <si>
    <t>NORTH BRANCH/VILLAGE OF NORTH BRANCH</t>
  </si>
  <si>
    <t>IMLAY CITY</t>
  </si>
  <si>
    <t>LAPEER CITY</t>
  </si>
  <si>
    <t>EXEMPT SALE</t>
  </si>
  <si>
    <t>AVG PER FF:</t>
  </si>
  <si>
    <t>NOT TYPICAL</t>
  </si>
  <si>
    <t>MULT PARCEL SALE/NOT TYPICAL</t>
  </si>
  <si>
    <t>6/26/24 STARTED WORKING ON LAND VALUES.  NEED TO GET FRONT FOOT FOR SOME IN IMLAY CITY.  THEN BREAKDOWN SIMILAR TO LAST YEAR.</t>
  </si>
  <si>
    <t>MOBILE HOME PARK</t>
  </si>
  <si>
    <t>AVG PER FF RESIDUAL:</t>
  </si>
  <si>
    <t xml:space="preserve"> </t>
  </si>
  <si>
    <t>MULTIPLE PARCEL SALE</t>
  </si>
  <si>
    <t>COMMENTS</t>
  </si>
  <si>
    <t xml:space="preserve">USE </t>
  </si>
  <si>
    <t>PER FF</t>
  </si>
  <si>
    <t>AVERAGE PER FF</t>
  </si>
  <si>
    <t>UNDER CONSTRUCTION</t>
  </si>
  <si>
    <t>OUT OF RANGE PER FF</t>
  </si>
  <si>
    <t>(LAST YR: $905 PER FF)</t>
  </si>
  <si>
    <t>AVERAGE $/FF=</t>
  </si>
  <si>
    <t>(LAST YEAR: $541 PER FF)</t>
  </si>
  <si>
    <t>MULT PARCEL SALE</t>
  </si>
  <si>
    <t>NOT TYPICAL/OUT OF RANGE</t>
  </si>
  <si>
    <t>? ASSESSED WHEN SOLD</t>
  </si>
  <si>
    <t>PTA</t>
  </si>
  <si>
    <t>L20-13-000-040-00</t>
  </si>
  <si>
    <t>015-008-072-00</t>
  </si>
  <si>
    <t>600 W DRYDEN RD</t>
  </si>
  <si>
    <t>015-008-054-30</t>
  </si>
  <si>
    <t>3889 S LAPEER</t>
  </si>
  <si>
    <t>015-008-045-02</t>
  </si>
  <si>
    <t>3716 S LAPEER</t>
  </si>
  <si>
    <t>USE $595 PER F.F.</t>
  </si>
  <si>
    <t>005-008-015-00</t>
  </si>
  <si>
    <t>6009 VAN DYKE</t>
  </si>
  <si>
    <t>010-010-021-10</t>
  </si>
  <si>
    <t>4385 PRATT RD</t>
  </si>
  <si>
    <t>FUTURE DOLLAR GENERAL</t>
  </si>
  <si>
    <t>$352 .00 PER FF</t>
  </si>
  <si>
    <t>(LAST YR: $350 PER FF)</t>
  </si>
  <si>
    <t>CITY OF LAPEER</t>
  </si>
  <si>
    <t>FF VALUE</t>
  </si>
  <si>
    <t>INDUSTRIAL LAND VALUE ANALYSIS FOR 2025</t>
  </si>
  <si>
    <t>NO INDUSTRIAL SALES IN ELBA TWP.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</si>
</sst>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0" fontId="2" fillId="2" borderId="0" xfId="0" applyFont="1" applyFill="1" applyAlignment="1">
      <alignment horizontal="center" wrapText="1"/>
    </xf>
    <xf numFmtId="0" fontId="0" fillId="4" borderId="0" xfId="0" applyFill="1"/>
    <xf numFmtId="165" fontId="2" fillId="2" borderId="0" xfId="0" applyNumberFormat="1" applyFont="1" applyFill="1" applyAlignment="1">
      <alignment horizontal="center" wrapText="1"/>
    </xf>
    <xf numFmtId="6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6" fontId="2" fillId="2" borderId="0" xfId="0" applyNumberFormat="1" applyFont="1" applyFill="1" applyAlignment="1">
      <alignment horizontal="center" wrapText="1"/>
    </xf>
    <xf numFmtId="167" fontId="2" fillId="2" borderId="0" xfId="0" applyNumberFormat="1" applyFont="1" applyFill="1" applyAlignment="1">
      <alignment horizontal="center" wrapText="1"/>
    </xf>
    <xf numFmtId="40" fontId="2" fillId="2" borderId="0" xfId="0" applyNumberFormat="1" applyFont="1" applyFill="1" applyAlignment="1">
      <alignment horizontal="center" wrapText="1"/>
    </xf>
    <xf numFmtId="8" fontId="2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6" fontId="0" fillId="4" borderId="0" xfId="0" applyNumberFormat="1" applyFill="1"/>
    <xf numFmtId="0" fontId="1" fillId="0" borderId="0" xfId="0" applyFont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applyFont="1" applyAlignment="1">
      <alignment wrapText="1"/>
    </xf>
    <xf numFmtId="166" fontId="0" fillId="4" borderId="0" xfId="0" applyNumberFormat="1" applyFill="1"/>
    <xf numFmtId="6" fontId="4" fillId="0" borderId="0" xfId="0" applyNumberFormat="1" applyFont="1"/>
    <xf numFmtId="8" fontId="0" fillId="4" borderId="0" xfId="0" applyNumberFormat="1" applyFill="1"/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40" fontId="4" fillId="0" borderId="0" xfId="0" applyNumberFormat="1" applyFont="1"/>
    <xf numFmtId="8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6" fontId="4" fillId="4" borderId="0" xfId="0" applyNumberFormat="1" applyFont="1" applyFill="1"/>
    <xf numFmtId="166" fontId="4" fillId="4" borderId="0" xfId="0" applyNumberFormat="1" applyFont="1" applyFill="1"/>
    <xf numFmtId="6" fontId="5" fillId="0" borderId="0" xfId="0" applyNumberFormat="1" applyFont="1"/>
    <xf numFmtId="0" fontId="5" fillId="0" borderId="0" xfId="0" applyFont="1"/>
    <xf numFmtId="8" fontId="4" fillId="4" borderId="0" xfId="0" applyNumberFormat="1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86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8"/>
  <sheetViews>
    <sheetView zoomScaleNormal="100" workbookViewId="0">
      <pane xSplit="10" ySplit="18" topLeftCell="K112" activePane="bottomRight" state="frozen"/>
      <selection pane="topRight" activeCell="K1" sqref="K1"/>
      <selection pane="bottomLeft" activeCell="A19" sqref="A19"/>
      <selection pane="bottomRight" activeCell="A100" sqref="A100:XFD123"/>
    </sheetView>
  </sheetViews>
  <sheetFormatPr defaultRowHeight="15" x14ac:dyDescent="0.25"/>
  <cols>
    <col min="1" max="1" width="16.85546875" bestFit="1" customWidth="1"/>
    <col min="2" max="2" width="18.7109375" customWidth="1"/>
    <col min="3" max="3" width="9.28515625" style="13" bestFit="1" customWidth="1"/>
    <col min="4" max="4" width="11.85546875" style="5" bestFit="1" customWidth="1"/>
    <col min="5" max="5" width="5.5703125" bestFit="1" customWidth="1"/>
    <col min="6" max="6" width="15.7109375" customWidth="1"/>
    <col min="7" max="7" width="11.85546875" style="5" bestFit="1" customWidth="1"/>
    <col min="8" max="8" width="14.7109375" style="5" bestFit="1" customWidth="1"/>
    <col min="9" max="9" width="12.85546875" style="9" bestFit="1" customWidth="1"/>
    <col min="10" max="10" width="11.7109375" style="5" customWidth="1"/>
    <col min="11" max="11" width="12.42578125" style="5" customWidth="1"/>
    <col min="12" max="12" width="12" style="5" customWidth="1"/>
    <col min="13" max="13" width="8.85546875" style="17" customWidth="1"/>
    <col min="14" max="14" width="7.28515625" style="20" bestFit="1" customWidth="1"/>
    <col min="15" max="15" width="8.7109375" style="24" customWidth="1"/>
    <col min="16" max="16" width="9.85546875" style="24" customWidth="1"/>
    <col min="17" max="17" width="9.42578125" style="5" customWidth="1"/>
    <col min="18" max="18" width="12" style="5" bestFit="1" customWidth="1"/>
    <col min="19" max="19" width="10.7109375" style="28" customWidth="1"/>
    <col min="20" max="20" width="9.42578125" style="24" customWidth="1"/>
    <col min="21" max="21" width="15.42578125" style="43" customWidth="1"/>
  </cols>
  <sheetData>
    <row r="1" spans="1:41" s="43" customFormat="1" ht="26.25" customHeight="1" x14ac:dyDescent="0.3">
      <c r="A1" s="33" t="s">
        <v>0</v>
      </c>
      <c r="B1" s="33" t="s">
        <v>1</v>
      </c>
      <c r="C1" s="35" t="s">
        <v>2</v>
      </c>
      <c r="D1" s="36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7" t="s">
        <v>8</v>
      </c>
      <c r="J1" s="36" t="s">
        <v>9</v>
      </c>
      <c r="K1" s="36" t="s">
        <v>10</v>
      </c>
      <c r="L1" s="36" t="s">
        <v>11</v>
      </c>
      <c r="M1" s="38" t="s">
        <v>12</v>
      </c>
      <c r="N1" s="39" t="s">
        <v>13</v>
      </c>
      <c r="O1" s="40" t="s">
        <v>14</v>
      </c>
      <c r="P1" s="40" t="s">
        <v>15</v>
      </c>
      <c r="Q1" s="36" t="s">
        <v>16</v>
      </c>
      <c r="R1" s="36" t="s">
        <v>17</v>
      </c>
      <c r="S1" s="41" t="s">
        <v>18</v>
      </c>
      <c r="T1" s="40" t="s">
        <v>19</v>
      </c>
      <c r="U1" s="33" t="s">
        <v>20</v>
      </c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14.45" x14ac:dyDescent="0.3">
      <c r="A2" s="48" t="s">
        <v>264</v>
      </c>
      <c r="AF2" s="1"/>
      <c r="AH2" s="1"/>
    </row>
    <row r="3" spans="1:41" s="60" customFormat="1" ht="14.45" x14ac:dyDescent="0.3">
      <c r="A3" s="60" t="s">
        <v>21</v>
      </c>
      <c r="B3" s="60" t="s">
        <v>22</v>
      </c>
      <c r="C3" s="61">
        <v>44820</v>
      </c>
      <c r="D3" s="58">
        <v>500000</v>
      </c>
      <c r="E3" s="60" t="s">
        <v>23</v>
      </c>
      <c r="F3" s="60" t="s">
        <v>24</v>
      </c>
      <c r="G3" s="58">
        <v>500000</v>
      </c>
      <c r="H3" s="58">
        <v>136300</v>
      </c>
      <c r="I3" s="62">
        <f t="shared" ref="I3:I12" si="0">H3/G3*100</f>
        <v>27.26</v>
      </c>
      <c r="J3" s="58">
        <v>489739</v>
      </c>
      <c r="K3" s="58">
        <f>G3-324013</f>
        <v>175987</v>
      </c>
      <c r="L3" s="58">
        <v>165726</v>
      </c>
      <c r="M3" s="63">
        <v>341</v>
      </c>
      <c r="N3" s="64">
        <v>1235</v>
      </c>
      <c r="O3" s="65">
        <v>10.09</v>
      </c>
      <c r="P3" s="65">
        <v>10.09</v>
      </c>
      <c r="Q3" s="58">
        <f t="shared" ref="Q3:Q12" si="1">K3/M3</f>
        <v>516.09090909090912</v>
      </c>
      <c r="R3" s="58">
        <f t="shared" ref="R3:R12" si="2">K3/O3</f>
        <v>17441.724479682856</v>
      </c>
      <c r="S3" s="66">
        <f t="shared" ref="S3:S12" si="3">K3/O3/43560</f>
        <v>0.40040689806434471</v>
      </c>
      <c r="T3" s="65">
        <v>341</v>
      </c>
      <c r="U3" s="67"/>
      <c r="AF3" s="68"/>
      <c r="AH3" s="68"/>
    </row>
    <row r="4" spans="1:41" s="60" customFormat="1" ht="14.45" x14ac:dyDescent="0.3">
      <c r="A4" s="60" t="s">
        <v>25</v>
      </c>
      <c r="B4" s="60" t="s">
        <v>26</v>
      </c>
      <c r="C4" s="61">
        <v>45320</v>
      </c>
      <c r="D4" s="58">
        <v>810000</v>
      </c>
      <c r="E4" s="60" t="s">
        <v>23</v>
      </c>
      <c r="F4" s="60" t="s">
        <v>24</v>
      </c>
      <c r="G4" s="58">
        <v>810000</v>
      </c>
      <c r="H4" s="58">
        <v>442100</v>
      </c>
      <c r="I4" s="62">
        <f t="shared" si="0"/>
        <v>54.580246913580247</v>
      </c>
      <c r="J4" s="58">
        <v>903932</v>
      </c>
      <c r="K4" s="58">
        <f>G4-755432</f>
        <v>54568</v>
      </c>
      <c r="L4" s="58">
        <v>148500</v>
      </c>
      <c r="M4" s="63">
        <v>275</v>
      </c>
      <c r="N4" s="64">
        <v>1100</v>
      </c>
      <c r="O4" s="65">
        <v>6.944</v>
      </c>
      <c r="P4" s="65">
        <v>6.944</v>
      </c>
      <c r="Q4" s="58">
        <f t="shared" si="1"/>
        <v>198.42909090909092</v>
      </c>
      <c r="R4" s="58">
        <f t="shared" si="2"/>
        <v>7858.294930875576</v>
      </c>
      <c r="S4" s="66">
        <f t="shared" si="3"/>
        <v>0.18040162834884244</v>
      </c>
      <c r="T4" s="65">
        <v>275</v>
      </c>
      <c r="U4" s="67"/>
    </row>
    <row r="5" spans="1:41" s="60" customFormat="1" ht="14.45" x14ac:dyDescent="0.3">
      <c r="A5" s="60" t="s">
        <v>27</v>
      </c>
      <c r="B5" s="60" t="s">
        <v>28</v>
      </c>
      <c r="C5" s="61">
        <v>45001</v>
      </c>
      <c r="D5" s="58">
        <v>29000</v>
      </c>
      <c r="E5" s="60" t="s">
        <v>23</v>
      </c>
      <c r="F5" s="60" t="s">
        <v>24</v>
      </c>
      <c r="G5" s="58">
        <v>29000</v>
      </c>
      <c r="H5" s="58">
        <v>14900</v>
      </c>
      <c r="I5" s="62">
        <f t="shared" si="0"/>
        <v>51.379310344827587</v>
      </c>
      <c r="J5" s="58">
        <v>43740</v>
      </c>
      <c r="K5" s="58">
        <f>G5-0</f>
        <v>29000</v>
      </c>
      <c r="L5" s="58">
        <v>43740</v>
      </c>
      <c r="M5" s="63">
        <v>81</v>
      </c>
      <c r="N5" s="64">
        <v>537</v>
      </c>
      <c r="O5" s="65">
        <v>0.999</v>
      </c>
      <c r="P5" s="65">
        <v>0.999</v>
      </c>
      <c r="Q5" s="58">
        <f t="shared" si="1"/>
        <v>358.02469135802471</v>
      </c>
      <c r="R5" s="58">
        <f t="shared" si="2"/>
        <v>29029.029029029029</v>
      </c>
      <c r="S5" s="66">
        <f t="shared" si="3"/>
        <v>0.66641480782894924</v>
      </c>
      <c r="T5" s="65">
        <v>81</v>
      </c>
      <c r="U5" s="67"/>
    </row>
    <row r="6" spans="1:41" s="60" customFormat="1" ht="14.45" x14ac:dyDescent="0.3">
      <c r="A6" s="60" t="s">
        <v>95</v>
      </c>
      <c r="B6" s="60" t="s">
        <v>96</v>
      </c>
      <c r="C6" s="61">
        <v>44699</v>
      </c>
      <c r="D6" s="58">
        <v>620000</v>
      </c>
      <c r="E6" s="60" t="s">
        <v>23</v>
      </c>
      <c r="F6" s="60" t="s">
        <v>24</v>
      </c>
      <c r="G6" s="58">
        <v>620000</v>
      </c>
      <c r="H6" s="58">
        <v>106500</v>
      </c>
      <c r="I6" s="62">
        <f t="shared" si="0"/>
        <v>17.177419354838712</v>
      </c>
      <c r="J6" s="58">
        <v>417826</v>
      </c>
      <c r="K6" s="58">
        <f>G6-255826</f>
        <v>364174</v>
      </c>
      <c r="L6" s="58">
        <v>162000</v>
      </c>
      <c r="M6" s="63">
        <v>300</v>
      </c>
      <c r="N6" s="64">
        <v>952.5</v>
      </c>
      <c r="O6" s="65">
        <v>6.56</v>
      </c>
      <c r="P6" s="65">
        <v>6.56</v>
      </c>
      <c r="Q6" s="58">
        <f t="shared" si="1"/>
        <v>1213.9133333333334</v>
      </c>
      <c r="R6" s="58">
        <f t="shared" si="2"/>
        <v>55514.329268292684</v>
      </c>
      <c r="S6" s="66">
        <f t="shared" si="3"/>
        <v>1.2744336379314207</v>
      </c>
      <c r="T6" s="65">
        <v>300</v>
      </c>
      <c r="U6" s="67"/>
    </row>
    <row r="7" spans="1:41" s="60" customFormat="1" ht="14.45" x14ac:dyDescent="0.3">
      <c r="A7" s="60" t="s">
        <v>99</v>
      </c>
      <c r="B7" s="60" t="s">
        <v>100</v>
      </c>
      <c r="C7" s="61">
        <v>44686</v>
      </c>
      <c r="D7" s="58">
        <v>125000</v>
      </c>
      <c r="E7" s="60" t="s">
        <v>23</v>
      </c>
      <c r="F7" s="60" t="s">
        <v>24</v>
      </c>
      <c r="G7" s="58">
        <v>125000</v>
      </c>
      <c r="H7" s="58">
        <v>16700</v>
      </c>
      <c r="I7" s="62">
        <f t="shared" si="0"/>
        <v>13.36</v>
      </c>
      <c r="J7" s="58">
        <v>95033</v>
      </c>
      <c r="K7" s="58">
        <f>G7-76533</f>
        <v>48467</v>
      </c>
      <c r="L7" s="58">
        <v>18500</v>
      </c>
      <c r="M7" s="63">
        <v>19</v>
      </c>
      <c r="N7" s="64">
        <v>66</v>
      </c>
      <c r="O7" s="65">
        <v>5.8999999999999997E-2</v>
      </c>
      <c r="P7" s="65">
        <v>2.9000000000000001E-2</v>
      </c>
      <c r="Q7" s="58">
        <f t="shared" si="1"/>
        <v>2550.8947368421054</v>
      </c>
      <c r="R7" s="58">
        <f t="shared" si="2"/>
        <v>821474.57627118647</v>
      </c>
      <c r="S7" s="66">
        <f t="shared" si="3"/>
        <v>18.858461346905106</v>
      </c>
      <c r="T7" s="65">
        <v>19</v>
      </c>
      <c r="U7" s="67"/>
    </row>
    <row r="8" spans="1:41" s="60" customFormat="1" ht="14.45" x14ac:dyDescent="0.3">
      <c r="A8" s="60" t="s">
        <v>101</v>
      </c>
      <c r="B8" s="60" t="s">
        <v>102</v>
      </c>
      <c r="C8" s="61">
        <v>44995</v>
      </c>
      <c r="D8" s="58">
        <v>250000</v>
      </c>
      <c r="E8" s="60" t="s">
        <v>23</v>
      </c>
      <c r="F8" s="60" t="s">
        <v>24</v>
      </c>
      <c r="G8" s="58">
        <v>250000</v>
      </c>
      <c r="H8" s="58">
        <v>45800</v>
      </c>
      <c r="I8" s="62">
        <f t="shared" si="0"/>
        <v>18.32</v>
      </c>
      <c r="J8" s="58">
        <v>199888</v>
      </c>
      <c r="K8" s="58">
        <f>G8-164248</f>
        <v>85752</v>
      </c>
      <c r="L8" s="58">
        <v>35640</v>
      </c>
      <c r="M8" s="63">
        <v>66</v>
      </c>
      <c r="N8" s="64">
        <v>100</v>
      </c>
      <c r="O8" s="65">
        <v>0.152</v>
      </c>
      <c r="P8" s="65">
        <v>0.152</v>
      </c>
      <c r="Q8" s="58">
        <f t="shared" si="1"/>
        <v>1299.2727272727273</v>
      </c>
      <c r="R8" s="58">
        <f t="shared" si="2"/>
        <v>564157.89473684214</v>
      </c>
      <c r="S8" s="66">
        <f t="shared" si="3"/>
        <v>12.951283166594171</v>
      </c>
      <c r="T8" s="65">
        <v>66</v>
      </c>
      <c r="U8" s="67"/>
    </row>
    <row r="9" spans="1:41" s="60" customFormat="1" ht="14.45" x14ac:dyDescent="0.3">
      <c r="A9" s="60" t="s">
        <v>103</v>
      </c>
      <c r="B9" s="60" t="s">
        <v>104</v>
      </c>
      <c r="C9" s="61">
        <v>44943</v>
      </c>
      <c r="D9" s="58">
        <v>120000</v>
      </c>
      <c r="E9" s="60" t="s">
        <v>23</v>
      </c>
      <c r="F9" s="60" t="s">
        <v>24</v>
      </c>
      <c r="G9" s="58">
        <v>120000</v>
      </c>
      <c r="H9" s="58">
        <v>16700</v>
      </c>
      <c r="I9" s="62">
        <f t="shared" si="0"/>
        <v>13.916666666666666</v>
      </c>
      <c r="J9" s="58">
        <v>102322</v>
      </c>
      <c r="K9" s="58">
        <f>G9-83822</f>
        <v>36178</v>
      </c>
      <c r="L9" s="58">
        <v>18500</v>
      </c>
      <c r="M9" s="63">
        <v>33</v>
      </c>
      <c r="N9" s="64">
        <v>99</v>
      </c>
      <c r="O9" s="65">
        <v>7.4999999999999997E-2</v>
      </c>
      <c r="P9" s="65">
        <v>7.4999999999999997E-2</v>
      </c>
      <c r="Q9" s="58">
        <f t="shared" si="1"/>
        <v>1096.3030303030303</v>
      </c>
      <c r="R9" s="58">
        <f t="shared" si="2"/>
        <v>482373.33333333337</v>
      </c>
      <c r="S9" s="66">
        <f t="shared" si="3"/>
        <v>11.073767982858893</v>
      </c>
      <c r="T9" s="65">
        <v>33</v>
      </c>
      <c r="U9" s="67"/>
    </row>
    <row r="10" spans="1:41" s="60" customFormat="1" ht="14.45" x14ac:dyDescent="0.3">
      <c r="A10" s="60" t="s">
        <v>105</v>
      </c>
      <c r="B10" s="60" t="s">
        <v>106</v>
      </c>
      <c r="C10" s="61">
        <v>44844</v>
      </c>
      <c r="D10" s="58">
        <v>700000</v>
      </c>
      <c r="E10" s="60" t="s">
        <v>37</v>
      </c>
      <c r="F10" s="60" t="s">
        <v>58</v>
      </c>
      <c r="G10" s="58">
        <v>650000</v>
      </c>
      <c r="H10" s="58">
        <v>61400</v>
      </c>
      <c r="I10" s="62">
        <f t="shared" si="0"/>
        <v>9.4461538461538463</v>
      </c>
      <c r="J10" s="58">
        <v>158071</v>
      </c>
      <c r="K10" s="58">
        <f>G10-82571</f>
        <v>567429</v>
      </c>
      <c r="L10" s="58">
        <v>75500</v>
      </c>
      <c r="M10" s="63">
        <v>151</v>
      </c>
      <c r="N10" s="64">
        <v>379</v>
      </c>
      <c r="O10" s="65">
        <v>0.71799999999999997</v>
      </c>
      <c r="P10" s="65">
        <v>0.21</v>
      </c>
      <c r="Q10" s="58">
        <f t="shared" si="1"/>
        <v>3757.8079470198677</v>
      </c>
      <c r="R10" s="58">
        <f t="shared" si="2"/>
        <v>790291.08635097498</v>
      </c>
      <c r="S10" s="66">
        <f t="shared" si="3"/>
        <v>18.142586922657827</v>
      </c>
      <c r="T10" s="65">
        <v>151</v>
      </c>
      <c r="U10" s="67" t="s">
        <v>107</v>
      </c>
    </row>
    <row r="11" spans="1:41" s="60" customFormat="1" ht="14.45" x14ac:dyDescent="0.3">
      <c r="A11" s="60" t="s">
        <v>111</v>
      </c>
      <c r="B11" s="60" t="s">
        <v>112</v>
      </c>
      <c r="C11" s="61">
        <v>44896</v>
      </c>
      <c r="D11" s="58">
        <v>375000</v>
      </c>
      <c r="E11" s="60" t="s">
        <v>23</v>
      </c>
      <c r="F11" s="60" t="s">
        <v>24</v>
      </c>
      <c r="G11" s="58">
        <v>375000</v>
      </c>
      <c r="H11" s="58">
        <v>158000</v>
      </c>
      <c r="I11" s="62">
        <f t="shared" si="0"/>
        <v>42.133333333333333</v>
      </c>
      <c r="J11" s="58">
        <v>353649</v>
      </c>
      <c r="K11" s="58">
        <f>G11-265629</f>
        <v>109371</v>
      </c>
      <c r="L11" s="58">
        <v>88020</v>
      </c>
      <c r="M11" s="63">
        <v>163</v>
      </c>
      <c r="N11" s="64">
        <v>264</v>
      </c>
      <c r="O11" s="65">
        <v>0.98799999999999999</v>
      </c>
      <c r="P11" s="65">
        <v>0.98799999999999999</v>
      </c>
      <c r="Q11" s="58">
        <f t="shared" si="1"/>
        <v>670.98773006134968</v>
      </c>
      <c r="R11" s="58">
        <f t="shared" si="2"/>
        <v>110699.3927125506</v>
      </c>
      <c r="S11" s="66">
        <f t="shared" si="3"/>
        <v>2.5413083726480856</v>
      </c>
      <c r="T11" s="65">
        <v>163</v>
      </c>
      <c r="U11" s="67"/>
    </row>
    <row r="12" spans="1:41" s="60" customFormat="1" ht="14.45" x14ac:dyDescent="0.3">
      <c r="A12" s="60" t="s">
        <v>115</v>
      </c>
      <c r="B12" s="60" t="s">
        <v>116</v>
      </c>
      <c r="C12" s="61">
        <v>44860</v>
      </c>
      <c r="D12" s="58">
        <v>425000</v>
      </c>
      <c r="E12" s="60" t="s">
        <v>23</v>
      </c>
      <c r="F12" s="60" t="s">
        <v>24</v>
      </c>
      <c r="G12" s="58">
        <v>425000</v>
      </c>
      <c r="H12" s="58">
        <v>169600</v>
      </c>
      <c r="I12" s="62">
        <f t="shared" si="0"/>
        <v>39.905882352941177</v>
      </c>
      <c r="J12" s="58">
        <v>403716</v>
      </c>
      <c r="K12" s="58">
        <f>G12-339996</f>
        <v>85004</v>
      </c>
      <c r="L12" s="58">
        <v>63720</v>
      </c>
      <c r="M12" s="63">
        <v>118</v>
      </c>
      <c r="N12" s="64">
        <v>346.51998900000001</v>
      </c>
      <c r="O12" s="65">
        <v>0.93899999999999995</v>
      </c>
      <c r="P12" s="65">
        <v>0.93899999999999995</v>
      </c>
      <c r="Q12" s="58">
        <f t="shared" si="1"/>
        <v>720.37288135593224</v>
      </c>
      <c r="R12" s="58">
        <f t="shared" si="2"/>
        <v>90526.091586794471</v>
      </c>
      <c r="S12" s="66">
        <f t="shared" si="3"/>
        <v>2.0781931034617647</v>
      </c>
      <c r="T12" s="65">
        <v>118</v>
      </c>
      <c r="U12" s="67"/>
    </row>
    <row r="13" spans="1:41" ht="14.45" x14ac:dyDescent="0.3">
      <c r="O13" s="54" t="s">
        <v>282</v>
      </c>
      <c r="P13" s="54"/>
      <c r="Q13" s="50">
        <f>AVERAGE(Q3:Q12)</f>
        <v>1238.2097077546371</v>
      </c>
    </row>
    <row r="14" spans="1:41" ht="14.45" x14ac:dyDescent="0.3">
      <c r="A14" s="48" t="s">
        <v>265</v>
      </c>
    </row>
    <row r="15" spans="1:41" s="60" customFormat="1" ht="14.45" x14ac:dyDescent="0.3">
      <c r="A15" s="60" t="s">
        <v>29</v>
      </c>
      <c r="B15" s="60" t="s">
        <v>30</v>
      </c>
      <c r="C15" s="61">
        <v>45126</v>
      </c>
      <c r="D15" s="58">
        <v>280000</v>
      </c>
      <c r="E15" s="60" t="s">
        <v>23</v>
      </c>
      <c r="F15" s="60" t="s">
        <v>24</v>
      </c>
      <c r="G15" s="58">
        <v>280000</v>
      </c>
      <c r="H15" s="58">
        <v>173300</v>
      </c>
      <c r="I15" s="62">
        <f>H15/G15*100</f>
        <v>61.892857142857139</v>
      </c>
      <c r="J15" s="58">
        <v>387435</v>
      </c>
      <c r="K15" s="58">
        <f>G15-135885</f>
        <v>144115</v>
      </c>
      <c r="L15" s="58">
        <v>251550</v>
      </c>
      <c r="M15" s="63">
        <v>1655</v>
      </c>
      <c r="N15" s="64">
        <v>0</v>
      </c>
      <c r="O15" s="65">
        <v>50</v>
      </c>
      <c r="P15" s="65">
        <v>50</v>
      </c>
      <c r="Q15" s="58">
        <f>K15/M15</f>
        <v>87.0785498489426</v>
      </c>
      <c r="R15" s="58">
        <f>K15/O15</f>
        <v>2882.3</v>
      </c>
      <c r="S15" s="66">
        <f>K15/O15/43560</f>
        <v>6.6168503213957758E-2</v>
      </c>
      <c r="T15" s="65">
        <v>0</v>
      </c>
      <c r="U15" s="67"/>
    </row>
    <row r="16" spans="1:41" s="60" customFormat="1" ht="14.45" x14ac:dyDescent="0.3">
      <c r="A16" s="60" t="s">
        <v>117</v>
      </c>
      <c r="B16" s="60" t="s">
        <v>118</v>
      </c>
      <c r="C16" s="61">
        <v>45302</v>
      </c>
      <c r="D16" s="58">
        <v>90000</v>
      </c>
      <c r="E16" s="60" t="s">
        <v>23</v>
      </c>
      <c r="F16" s="60" t="s">
        <v>24</v>
      </c>
      <c r="G16" s="58">
        <v>90000</v>
      </c>
      <c r="H16" s="58">
        <v>61600</v>
      </c>
      <c r="I16" s="62">
        <f>H16/G16*100</f>
        <v>68.444444444444443</v>
      </c>
      <c r="J16" s="58">
        <v>136308</v>
      </c>
      <c r="K16" s="58">
        <f>G16-83808</f>
        <v>6192</v>
      </c>
      <c r="L16" s="58">
        <v>52500</v>
      </c>
      <c r="M16" s="63">
        <v>200</v>
      </c>
      <c r="N16" s="64">
        <v>646</v>
      </c>
      <c r="O16" s="65">
        <v>3.12</v>
      </c>
      <c r="P16" s="65">
        <v>3.12</v>
      </c>
      <c r="Q16" s="58">
        <f>K16/M16</f>
        <v>30.96</v>
      </c>
      <c r="R16" s="58">
        <f>K16/O16</f>
        <v>1984.6153846153845</v>
      </c>
      <c r="S16" s="66">
        <f>K16/O16/43560</f>
        <v>4.5560500105954652E-2</v>
      </c>
      <c r="T16" s="65">
        <v>200</v>
      </c>
      <c r="U16" s="67"/>
    </row>
    <row r="17" spans="1:21" s="60" customFormat="1" ht="14.45" x14ac:dyDescent="0.3">
      <c r="A17" s="60" t="s">
        <v>119</v>
      </c>
      <c r="B17" s="60" t="s">
        <v>120</v>
      </c>
      <c r="C17" s="61">
        <v>44894</v>
      </c>
      <c r="D17" s="58">
        <v>105000</v>
      </c>
      <c r="E17" s="60" t="s">
        <v>23</v>
      </c>
      <c r="F17" s="60" t="s">
        <v>24</v>
      </c>
      <c r="G17" s="58">
        <v>105000</v>
      </c>
      <c r="H17" s="58">
        <v>32800</v>
      </c>
      <c r="I17" s="62">
        <f>H17/G17*100</f>
        <v>31.238095238095237</v>
      </c>
      <c r="J17" s="58">
        <v>77907</v>
      </c>
      <c r="K17" s="58">
        <f>G17-56907</f>
        <v>48093</v>
      </c>
      <c r="L17" s="58">
        <v>21000</v>
      </c>
      <c r="M17" s="63">
        <v>60</v>
      </c>
      <c r="N17" s="64">
        <v>72</v>
      </c>
      <c r="O17" s="65">
        <v>9.9000000000000005E-2</v>
      </c>
      <c r="P17" s="65">
        <v>9.9000000000000005E-2</v>
      </c>
      <c r="Q17" s="58">
        <f>K17/M17</f>
        <v>801.55</v>
      </c>
      <c r="R17" s="58">
        <f>K17/O17</f>
        <v>485787.87878787878</v>
      </c>
      <c r="S17" s="66">
        <f>K17/O17/43560</f>
        <v>11.152155160419623</v>
      </c>
      <c r="T17" s="65">
        <v>60</v>
      </c>
      <c r="U17" s="67"/>
    </row>
    <row r="18" spans="1:21" ht="14.45" x14ac:dyDescent="0.3">
      <c r="O18" s="54" t="s">
        <v>282</v>
      </c>
      <c r="Q18" s="50">
        <f>AVERAGE(Q15:Q17)</f>
        <v>306.5295166163142</v>
      </c>
    </row>
    <row r="19" spans="1:21" ht="14.45" x14ac:dyDescent="0.3">
      <c r="A19" s="48" t="s">
        <v>266</v>
      </c>
    </row>
    <row r="20" spans="1:21" s="60" customFormat="1" ht="15.75" customHeight="1" x14ac:dyDescent="0.3">
      <c r="A20" s="60" t="s">
        <v>31</v>
      </c>
      <c r="B20" s="60" t="s">
        <v>32</v>
      </c>
      <c r="C20" s="61">
        <v>44656</v>
      </c>
      <c r="D20" s="58">
        <v>300000</v>
      </c>
      <c r="E20" s="60" t="s">
        <v>23</v>
      </c>
      <c r="F20" s="60" t="s">
        <v>24</v>
      </c>
      <c r="G20" s="58">
        <v>300000</v>
      </c>
      <c r="H20" s="58">
        <v>114200</v>
      </c>
      <c r="I20" s="62">
        <f>H20/G20*100</f>
        <v>38.066666666666663</v>
      </c>
      <c r="J20" s="58">
        <v>205702</v>
      </c>
      <c r="K20" s="58">
        <f>G20-92612</f>
        <v>207388</v>
      </c>
      <c r="L20" s="58">
        <v>113090</v>
      </c>
      <c r="M20" s="63">
        <v>296</v>
      </c>
      <c r="N20" s="64">
        <v>175</v>
      </c>
      <c r="O20" s="65">
        <v>2.99</v>
      </c>
      <c r="P20" s="65">
        <v>2.99</v>
      </c>
      <c r="Q20" s="58">
        <f>K20/M20</f>
        <v>700.6351351351351</v>
      </c>
      <c r="R20" s="58">
        <f>K20/O20</f>
        <v>69360.535117056847</v>
      </c>
      <c r="S20" s="66">
        <f>K20/O20/43560</f>
        <v>1.5922987859746751</v>
      </c>
      <c r="T20" s="65">
        <v>296</v>
      </c>
      <c r="U20" s="67"/>
    </row>
    <row r="21" spans="1:21" s="60" customFormat="1" ht="14.45" x14ac:dyDescent="0.3">
      <c r="A21" s="60" t="s">
        <v>31</v>
      </c>
      <c r="B21" s="60" t="s">
        <v>32</v>
      </c>
      <c r="C21" s="61">
        <v>45351</v>
      </c>
      <c r="D21" s="58">
        <v>300000</v>
      </c>
      <c r="E21" s="60" t="s">
        <v>23</v>
      </c>
      <c r="F21" s="60" t="s">
        <v>24</v>
      </c>
      <c r="G21" s="58">
        <v>300000</v>
      </c>
      <c r="H21" s="58">
        <v>122700</v>
      </c>
      <c r="I21" s="62">
        <f>H21/G21*100</f>
        <v>40.9</v>
      </c>
      <c r="J21" s="58">
        <v>262925</v>
      </c>
      <c r="K21" s="58">
        <f>G21-149835</f>
        <v>150165</v>
      </c>
      <c r="L21" s="58">
        <v>113090</v>
      </c>
      <c r="M21" s="63">
        <v>296</v>
      </c>
      <c r="N21" s="64">
        <v>175</v>
      </c>
      <c r="O21" s="65">
        <v>2.99</v>
      </c>
      <c r="P21" s="65">
        <v>2.99</v>
      </c>
      <c r="Q21" s="58">
        <f>K21/M21</f>
        <v>507.31418918918916</v>
      </c>
      <c r="R21" s="58">
        <f>K21/O21</f>
        <v>50222.408026755846</v>
      </c>
      <c r="S21" s="66">
        <f>K21/O21/43560</f>
        <v>1.1529478426711626</v>
      </c>
      <c r="T21" s="65">
        <v>296</v>
      </c>
      <c r="U21" s="67"/>
    </row>
    <row r="22" spans="1:21" ht="14.45" x14ac:dyDescent="0.3">
      <c r="O22" s="54" t="s">
        <v>282</v>
      </c>
      <c r="Q22" s="50">
        <f>AVERAGE(Q20:Q21)</f>
        <v>603.97466216216208</v>
      </c>
    </row>
    <row r="23" spans="1:21" ht="14.45" x14ac:dyDescent="0.3">
      <c r="A23" s="48" t="s">
        <v>267</v>
      </c>
    </row>
    <row r="24" spans="1:21" s="60" customFormat="1" ht="14.45" x14ac:dyDescent="0.3">
      <c r="A24" s="60" t="s">
        <v>35</v>
      </c>
      <c r="B24" s="60" t="s">
        <v>36</v>
      </c>
      <c r="C24" s="61">
        <v>44729</v>
      </c>
      <c r="D24" s="58">
        <v>180000</v>
      </c>
      <c r="E24" s="60" t="s">
        <v>37</v>
      </c>
      <c r="F24" s="60" t="s">
        <v>24</v>
      </c>
      <c r="G24" s="58">
        <v>180000</v>
      </c>
      <c r="H24" s="58">
        <v>92800</v>
      </c>
      <c r="I24" s="62">
        <f>H24/G24*100</f>
        <v>51.555555555555557</v>
      </c>
      <c r="J24" s="58">
        <v>213532</v>
      </c>
      <c r="K24" s="58">
        <f>G24-99052</f>
        <v>80948</v>
      </c>
      <c r="L24" s="58">
        <v>114480</v>
      </c>
      <c r="M24" s="63">
        <v>212</v>
      </c>
      <c r="N24" s="64">
        <v>758</v>
      </c>
      <c r="O24" s="65">
        <v>4.024</v>
      </c>
      <c r="P24" s="65">
        <v>4.024</v>
      </c>
      <c r="Q24" s="58">
        <f>K24/M24</f>
        <v>381.83018867924528</v>
      </c>
      <c r="R24" s="58">
        <f>K24/O24</f>
        <v>20116.302186878729</v>
      </c>
      <c r="S24" s="66">
        <f>K24/O24/43560</f>
        <v>0.46180675360144008</v>
      </c>
      <c r="T24" s="65">
        <v>212</v>
      </c>
      <c r="U24" s="67"/>
    </row>
    <row r="25" spans="1:21" s="60" customFormat="1" ht="14.45" x14ac:dyDescent="0.3">
      <c r="A25" s="60" t="s">
        <v>38</v>
      </c>
      <c r="B25" s="60" t="s">
        <v>39</v>
      </c>
      <c r="C25" s="61">
        <v>44697</v>
      </c>
      <c r="D25" s="58">
        <v>220000</v>
      </c>
      <c r="E25" s="60" t="s">
        <v>23</v>
      </c>
      <c r="F25" s="60" t="s">
        <v>24</v>
      </c>
      <c r="G25" s="58">
        <v>220000</v>
      </c>
      <c r="H25" s="58">
        <v>94800</v>
      </c>
      <c r="I25" s="62">
        <f>H25/G25*100</f>
        <v>43.090909090909093</v>
      </c>
      <c r="J25" s="58">
        <v>267036</v>
      </c>
      <c r="K25" s="58">
        <f>G25-145738</f>
        <v>74262</v>
      </c>
      <c r="L25" s="58">
        <v>121298</v>
      </c>
      <c r="M25" s="63">
        <v>299.5</v>
      </c>
      <c r="N25" s="64">
        <v>400</v>
      </c>
      <c r="O25" s="65">
        <v>3.44</v>
      </c>
      <c r="P25" s="65">
        <v>3.44</v>
      </c>
      <c r="Q25" s="58">
        <f>K25/M25</f>
        <v>247.95325542570953</v>
      </c>
      <c r="R25" s="58">
        <f>K25/O25</f>
        <v>21587.79069767442</v>
      </c>
      <c r="S25" s="66">
        <f>K25/O25/43560</f>
        <v>0.49558748158113913</v>
      </c>
      <c r="T25" s="65">
        <v>299.5</v>
      </c>
      <c r="U25" s="67"/>
    </row>
    <row r="26" spans="1:21" ht="14.45" x14ac:dyDescent="0.3">
      <c r="O26" s="54" t="s">
        <v>282</v>
      </c>
      <c r="Q26" s="50">
        <f>AVERAGE(Q24:Q25)</f>
        <v>314.89172205247741</v>
      </c>
    </row>
    <row r="27" spans="1:21" ht="14.45" x14ac:dyDescent="0.3">
      <c r="A27" s="48" t="s">
        <v>268</v>
      </c>
    </row>
    <row r="28" spans="1:21" s="60" customFormat="1" ht="14.45" x14ac:dyDescent="0.3">
      <c r="A28" s="60" t="s">
        <v>40</v>
      </c>
      <c r="B28" s="60" t="s">
        <v>41</v>
      </c>
      <c r="C28" s="61">
        <v>45219</v>
      </c>
      <c r="D28" s="58">
        <v>165000</v>
      </c>
      <c r="E28" s="60" t="s">
        <v>23</v>
      </c>
      <c r="F28" s="60" t="s">
        <v>24</v>
      </c>
      <c r="G28" s="58">
        <v>165000</v>
      </c>
      <c r="H28" s="58">
        <v>66500</v>
      </c>
      <c r="I28" s="62">
        <f>H28/G28*100</f>
        <v>40.303030303030305</v>
      </c>
      <c r="J28" s="58">
        <v>143640</v>
      </c>
      <c r="K28" s="58">
        <f>G28-0</f>
        <v>165000</v>
      </c>
      <c r="L28" s="58">
        <v>143640</v>
      </c>
      <c r="M28" s="63">
        <v>266</v>
      </c>
      <c r="N28" s="64">
        <v>577</v>
      </c>
      <c r="O28" s="65">
        <v>3.5230000000000001</v>
      </c>
      <c r="P28" s="65">
        <v>3.7229999999999999</v>
      </c>
      <c r="Q28" s="58">
        <f>K28/M28</f>
        <v>620.30075187969919</v>
      </c>
      <c r="R28" s="58">
        <f>K28/O28</f>
        <v>46835.083735452739</v>
      </c>
      <c r="S28" s="66">
        <f>K28/O28/43560</f>
        <v>1.0751855770305956</v>
      </c>
      <c r="T28" s="65">
        <v>266</v>
      </c>
      <c r="U28" s="67"/>
    </row>
    <row r="29" spans="1:21" s="60" customFormat="1" ht="14.45" x14ac:dyDescent="0.3">
      <c r="A29" s="60" t="s">
        <v>42</v>
      </c>
      <c r="B29" s="60" t="s">
        <v>43</v>
      </c>
      <c r="C29" s="61">
        <v>44999</v>
      </c>
      <c r="D29" s="58">
        <v>85000</v>
      </c>
      <c r="E29" s="60" t="s">
        <v>23</v>
      </c>
      <c r="F29" s="60" t="s">
        <v>24</v>
      </c>
      <c r="G29" s="58">
        <v>85000</v>
      </c>
      <c r="H29" s="58">
        <v>28000</v>
      </c>
      <c r="I29" s="62">
        <f>H29/G29*100</f>
        <v>32.941176470588232</v>
      </c>
      <c r="J29" s="58">
        <v>71820</v>
      </c>
      <c r="K29" s="58">
        <f>G29-0</f>
        <v>85000</v>
      </c>
      <c r="L29" s="58">
        <v>71820</v>
      </c>
      <c r="M29" s="63">
        <v>266</v>
      </c>
      <c r="N29" s="64">
        <v>577.5</v>
      </c>
      <c r="O29" s="65">
        <v>3.7269999999999999</v>
      </c>
      <c r="P29" s="65">
        <v>3.7269999999999999</v>
      </c>
      <c r="Q29" s="58">
        <f>K29/M29</f>
        <v>319.54887218045116</v>
      </c>
      <c r="R29" s="58">
        <f>K29/O29</f>
        <v>22806.546820499061</v>
      </c>
      <c r="S29" s="66">
        <f>K29/O29/43560</f>
        <v>0.52356627227959274</v>
      </c>
      <c r="T29" s="65">
        <v>266</v>
      </c>
      <c r="U29" s="67"/>
    </row>
    <row r="30" spans="1:21" s="60" customFormat="1" ht="14.45" x14ac:dyDescent="0.3">
      <c r="A30" s="60" t="s">
        <v>131</v>
      </c>
      <c r="B30" s="60" t="s">
        <v>132</v>
      </c>
      <c r="C30" s="61">
        <v>45316</v>
      </c>
      <c r="D30" s="58">
        <v>1300000</v>
      </c>
      <c r="E30" s="60" t="s">
        <v>23</v>
      </c>
      <c r="F30" s="60" t="s">
        <v>24</v>
      </c>
      <c r="G30" s="58">
        <v>1300000</v>
      </c>
      <c r="H30" s="58">
        <v>276000</v>
      </c>
      <c r="I30" s="62">
        <f>H30/G30*100</f>
        <v>21.23076923076923</v>
      </c>
      <c r="J30" s="58">
        <v>558481</v>
      </c>
      <c r="K30" s="58">
        <f>G30-495841</f>
        <v>804159</v>
      </c>
      <c r="L30" s="58">
        <v>62640</v>
      </c>
      <c r="M30" s="63">
        <v>288</v>
      </c>
      <c r="N30" s="64">
        <v>0</v>
      </c>
      <c r="O30" s="65">
        <v>5.8</v>
      </c>
      <c r="P30" s="65">
        <v>5.8</v>
      </c>
      <c r="Q30" s="58">
        <f>K30/M30</f>
        <v>2792.21875</v>
      </c>
      <c r="R30" s="58">
        <f>K30/O30</f>
        <v>138648.10344827586</v>
      </c>
      <c r="S30" s="66">
        <f>K30/O30/43560</f>
        <v>3.1829224850384725</v>
      </c>
      <c r="T30" s="65">
        <v>0</v>
      </c>
      <c r="U30" s="67"/>
    </row>
    <row r="31" spans="1:21" s="60" customFormat="1" ht="14.45" x14ac:dyDescent="0.3">
      <c r="A31" s="60" t="s">
        <v>133</v>
      </c>
      <c r="B31" s="60" t="s">
        <v>134</v>
      </c>
      <c r="C31" s="61">
        <v>45002</v>
      </c>
      <c r="D31" s="58">
        <v>125000</v>
      </c>
      <c r="E31" s="60" t="s">
        <v>23</v>
      </c>
      <c r="F31" s="60" t="s">
        <v>24</v>
      </c>
      <c r="G31" s="58">
        <v>125000</v>
      </c>
      <c r="H31" s="58">
        <v>70500</v>
      </c>
      <c r="I31" s="62">
        <f>H31/G31*100</f>
        <v>56.399999999999991</v>
      </c>
      <c r="J31" s="58">
        <v>152613</v>
      </c>
      <c r="K31" s="58">
        <f>G31-115073</f>
        <v>9927</v>
      </c>
      <c r="L31" s="58">
        <v>37540</v>
      </c>
      <c r="M31" s="63">
        <v>54</v>
      </c>
      <c r="N31" s="64">
        <v>280</v>
      </c>
      <c r="O31" s="65">
        <v>0.27400000000000002</v>
      </c>
      <c r="P31" s="65">
        <v>7.0999999999999994E-2</v>
      </c>
      <c r="Q31" s="58">
        <f>K31/M31</f>
        <v>183.83333333333334</v>
      </c>
      <c r="R31" s="58">
        <f>K31/O31</f>
        <v>36229.927007299266</v>
      </c>
      <c r="S31" s="66">
        <f>K31/O31/43560</f>
        <v>0.83172467877179213</v>
      </c>
      <c r="T31" s="65">
        <v>54</v>
      </c>
      <c r="U31" s="67" t="s">
        <v>135</v>
      </c>
    </row>
    <row r="32" spans="1:21" ht="14.45" x14ac:dyDescent="0.3">
      <c r="O32" s="54" t="s">
        <v>282</v>
      </c>
      <c r="Q32" s="50">
        <f>AVERAGE(Q28:Q31)</f>
        <v>978.97542684837094</v>
      </c>
    </row>
    <row r="33" spans="1:21" ht="14.45" x14ac:dyDescent="0.3">
      <c r="A33" s="48" t="s">
        <v>269</v>
      </c>
    </row>
    <row r="34" spans="1:21" s="60" customFormat="1" ht="14.45" x14ac:dyDescent="0.3">
      <c r="A34" s="60" t="s">
        <v>44</v>
      </c>
      <c r="B34" s="60" t="s">
        <v>45</v>
      </c>
      <c r="C34" s="61">
        <v>45114</v>
      </c>
      <c r="D34" s="58">
        <v>260000</v>
      </c>
      <c r="E34" s="60" t="s">
        <v>23</v>
      </c>
      <c r="F34" s="60" t="s">
        <v>24</v>
      </c>
      <c r="G34" s="58">
        <v>260000</v>
      </c>
      <c r="H34" s="58">
        <v>119000</v>
      </c>
      <c r="I34" s="62">
        <f>H34/G34*100</f>
        <v>45.769230769230766</v>
      </c>
      <c r="J34" s="69">
        <v>0</v>
      </c>
      <c r="K34" s="58">
        <f>G34-0</f>
        <v>260000</v>
      </c>
      <c r="L34" s="58">
        <v>0</v>
      </c>
      <c r="M34" s="63">
        <v>198</v>
      </c>
      <c r="N34" s="64">
        <v>660</v>
      </c>
      <c r="O34" s="65">
        <v>3</v>
      </c>
      <c r="P34" s="65">
        <v>3</v>
      </c>
      <c r="Q34" s="58">
        <f>K34/M34</f>
        <v>1313.1313131313132</v>
      </c>
      <c r="R34" s="58">
        <f>K34/O34</f>
        <v>86666.666666666672</v>
      </c>
      <c r="S34" s="66">
        <f>K34/O34/43560</f>
        <v>1.9895928986838078</v>
      </c>
      <c r="T34" s="65">
        <v>0</v>
      </c>
      <c r="U34" s="67"/>
    </row>
    <row r="35" spans="1:21" s="60" customFormat="1" ht="14.45" x14ac:dyDescent="0.3">
      <c r="A35" s="60" t="s">
        <v>48</v>
      </c>
      <c r="B35" s="60" t="s">
        <v>49</v>
      </c>
      <c r="C35" s="61">
        <v>44887</v>
      </c>
      <c r="D35" s="58">
        <v>375000</v>
      </c>
      <c r="E35" s="60" t="s">
        <v>23</v>
      </c>
      <c r="F35" s="60" t="s">
        <v>24</v>
      </c>
      <c r="G35" s="58">
        <v>375000</v>
      </c>
      <c r="H35" s="58">
        <v>169900</v>
      </c>
      <c r="I35" s="62">
        <f>H35/G35*100</f>
        <v>45.306666666666665</v>
      </c>
      <c r="J35" s="58">
        <v>381141</v>
      </c>
      <c r="K35" s="58">
        <f>G35-188291</f>
        <v>186709</v>
      </c>
      <c r="L35" s="58">
        <v>192850</v>
      </c>
      <c r="M35" s="63">
        <v>551</v>
      </c>
      <c r="N35" s="64">
        <v>1051</v>
      </c>
      <c r="O35" s="65">
        <v>13.644</v>
      </c>
      <c r="P35" s="65">
        <v>13.644</v>
      </c>
      <c r="Q35" s="58">
        <f>K35/M35</f>
        <v>338.85480943738656</v>
      </c>
      <c r="R35" s="58">
        <f>K35/O35</f>
        <v>13684.330108472588</v>
      </c>
      <c r="S35" s="66">
        <f>K35/O35/43560</f>
        <v>0.31414899238917787</v>
      </c>
      <c r="T35" s="65">
        <v>551</v>
      </c>
      <c r="U35" s="67"/>
    </row>
    <row r="36" spans="1:21" ht="14.45" x14ac:dyDescent="0.3">
      <c r="O36" s="54" t="s">
        <v>282</v>
      </c>
      <c r="Q36" s="50">
        <f>AVERAGE(Q34:Q35)</f>
        <v>825.99306128434989</v>
      </c>
    </row>
    <row r="37" spans="1:21" ht="14.45" x14ac:dyDescent="0.3">
      <c r="A37" s="48" t="s">
        <v>270</v>
      </c>
    </row>
    <row r="38" spans="1:21" s="60" customFormat="1" ht="14.45" x14ac:dyDescent="0.3">
      <c r="A38" s="60" t="s">
        <v>50</v>
      </c>
      <c r="B38" s="60" t="s">
        <v>51</v>
      </c>
      <c r="C38" s="61">
        <v>44819</v>
      </c>
      <c r="D38" s="58">
        <v>379000</v>
      </c>
      <c r="E38" s="60" t="s">
        <v>23</v>
      </c>
      <c r="F38" s="60" t="s">
        <v>24</v>
      </c>
      <c r="G38" s="58">
        <v>379000</v>
      </c>
      <c r="H38" s="58">
        <v>77900</v>
      </c>
      <c r="I38" s="62">
        <f>H38/G38*100</f>
        <v>20.554089709762533</v>
      </c>
      <c r="J38" s="58">
        <v>251143</v>
      </c>
      <c r="K38" s="58">
        <f>G38-160003</f>
        <v>218997</v>
      </c>
      <c r="L38" s="58">
        <v>91140</v>
      </c>
      <c r="M38" s="63">
        <v>217</v>
      </c>
      <c r="N38" s="64">
        <v>626</v>
      </c>
      <c r="O38" s="65">
        <v>3.7989999999999999</v>
      </c>
      <c r="P38" s="65">
        <v>3.88</v>
      </c>
      <c r="Q38" s="58">
        <f>K38/M38</f>
        <v>1009.2027649769585</v>
      </c>
      <c r="R38" s="58">
        <f>K38/O38</f>
        <v>57645.959463016581</v>
      </c>
      <c r="S38" s="66">
        <f>K38/O38/43560</f>
        <v>1.3233691336780666</v>
      </c>
      <c r="T38" s="65">
        <v>217</v>
      </c>
      <c r="U38" s="67"/>
    </row>
    <row r="39" spans="1:21" ht="14.45" x14ac:dyDescent="0.3">
      <c r="O39" s="54" t="s">
        <v>282</v>
      </c>
      <c r="Q39" s="50">
        <v>1009</v>
      </c>
    </row>
    <row r="40" spans="1:21" ht="14.45" x14ac:dyDescent="0.3">
      <c r="A40" s="48" t="s">
        <v>271</v>
      </c>
    </row>
    <row r="41" spans="1:21" s="60" customFormat="1" ht="14.45" x14ac:dyDescent="0.3">
      <c r="A41" s="60" t="s">
        <v>52</v>
      </c>
      <c r="B41" s="60" t="s">
        <v>53</v>
      </c>
      <c r="C41" s="61">
        <v>45302</v>
      </c>
      <c r="D41" s="58">
        <v>290000</v>
      </c>
      <c r="E41" s="60" t="s">
        <v>23</v>
      </c>
      <c r="F41" s="60" t="s">
        <v>24</v>
      </c>
      <c r="G41" s="58">
        <v>290000</v>
      </c>
      <c r="H41" s="58">
        <v>81300</v>
      </c>
      <c r="I41" s="62">
        <f>H41/G41*100</f>
        <v>28.034482758620687</v>
      </c>
      <c r="J41" s="58">
        <v>142546</v>
      </c>
      <c r="K41" s="58">
        <f>G41-102296</f>
        <v>187704</v>
      </c>
      <c r="L41" s="58">
        <v>40250</v>
      </c>
      <c r="M41" s="63">
        <v>115</v>
      </c>
      <c r="N41" s="64">
        <v>145</v>
      </c>
      <c r="O41" s="65">
        <v>0.38300000000000001</v>
      </c>
      <c r="P41" s="65">
        <v>0.38300000000000001</v>
      </c>
      <c r="Q41" s="58">
        <f>K41/M41</f>
        <v>1632.2086956521739</v>
      </c>
      <c r="R41" s="58">
        <f>K41/O41</f>
        <v>490088.772845953</v>
      </c>
      <c r="S41" s="66">
        <f>K41/O41/43560</f>
        <v>11.250890102065037</v>
      </c>
      <c r="T41" s="65">
        <v>115</v>
      </c>
      <c r="U41" s="67"/>
    </row>
    <row r="42" spans="1:21" ht="14.45" x14ac:dyDescent="0.3">
      <c r="O42" s="54" t="s">
        <v>282</v>
      </c>
      <c r="Q42" s="50">
        <v>1632</v>
      </c>
    </row>
    <row r="43" spans="1:21" ht="14.45" x14ac:dyDescent="0.3">
      <c r="A43" s="48" t="s">
        <v>272</v>
      </c>
    </row>
    <row r="44" spans="1:21" s="60" customFormat="1" ht="14.45" x14ac:dyDescent="0.3">
      <c r="A44" s="60" t="s">
        <v>54</v>
      </c>
      <c r="B44" s="60" t="s">
        <v>55</v>
      </c>
      <c r="C44" s="61">
        <v>44713</v>
      </c>
      <c r="D44" s="58">
        <v>425000</v>
      </c>
      <c r="E44" s="60" t="s">
        <v>23</v>
      </c>
      <c r="F44" s="60" t="s">
        <v>24</v>
      </c>
      <c r="G44" s="58">
        <v>425000</v>
      </c>
      <c r="H44" s="58">
        <v>68900</v>
      </c>
      <c r="I44" s="62">
        <f>H44/G44*100</f>
        <v>16.211764705882352</v>
      </c>
      <c r="J44" s="58">
        <v>243326</v>
      </c>
      <c r="K44" s="58">
        <f>G44-136856</f>
        <v>288144</v>
      </c>
      <c r="L44" s="58">
        <v>106470</v>
      </c>
      <c r="M44" s="63">
        <v>396</v>
      </c>
      <c r="N44" s="64">
        <v>0</v>
      </c>
      <c r="O44" s="65">
        <v>12.7</v>
      </c>
      <c r="P44" s="65">
        <v>12.7</v>
      </c>
      <c r="Q44" s="58">
        <f>K44/M44</f>
        <v>727.63636363636363</v>
      </c>
      <c r="R44" s="58">
        <f>K44/O44</f>
        <v>22688.503937007874</v>
      </c>
      <c r="S44" s="66">
        <f>K44/O44/43560</f>
        <v>0.52085638055573635</v>
      </c>
      <c r="T44" s="65">
        <v>396</v>
      </c>
      <c r="U44" s="67"/>
    </row>
    <row r="45" spans="1:21" s="60" customFormat="1" ht="14.45" x14ac:dyDescent="0.3">
      <c r="A45" s="60" t="s">
        <v>56</v>
      </c>
      <c r="B45" s="60" t="s">
        <v>57</v>
      </c>
      <c r="C45" s="61">
        <v>45415</v>
      </c>
      <c r="D45" s="58">
        <v>465000</v>
      </c>
      <c r="E45" s="60" t="s">
        <v>23</v>
      </c>
      <c r="F45" s="60" t="s">
        <v>58</v>
      </c>
      <c r="G45" s="58">
        <v>465000</v>
      </c>
      <c r="H45" s="58">
        <v>223000</v>
      </c>
      <c r="I45" s="62">
        <f>H45/G45*100</f>
        <v>47.956989247311824</v>
      </c>
      <c r="J45" s="58">
        <v>492991</v>
      </c>
      <c r="K45" s="58">
        <f>G45-292441</f>
        <v>172559</v>
      </c>
      <c r="L45" s="58">
        <v>200550</v>
      </c>
      <c r="M45" s="63">
        <v>573</v>
      </c>
      <c r="N45" s="64">
        <v>595</v>
      </c>
      <c r="O45" s="65">
        <v>4.8159999999999998</v>
      </c>
      <c r="P45" s="65">
        <v>1.7629999999999999</v>
      </c>
      <c r="Q45" s="58">
        <f>K45/M45</f>
        <v>301.15008726003492</v>
      </c>
      <c r="R45" s="58">
        <f>K45/O45</f>
        <v>35830.357142857145</v>
      </c>
      <c r="S45" s="66">
        <f>K45/O45/43560</f>
        <v>0.82255181686999879</v>
      </c>
      <c r="T45" s="65">
        <v>573</v>
      </c>
      <c r="U45" s="67" t="s">
        <v>59</v>
      </c>
    </row>
    <row r="46" spans="1:21" s="60" customFormat="1" ht="14.45" x14ac:dyDescent="0.3">
      <c r="A46" s="60" t="s">
        <v>62</v>
      </c>
      <c r="B46" s="60" t="s">
        <v>63</v>
      </c>
      <c r="C46" s="61">
        <v>45065</v>
      </c>
      <c r="D46" s="58">
        <v>1900000</v>
      </c>
      <c r="E46" s="60" t="s">
        <v>23</v>
      </c>
      <c r="F46" s="60" t="s">
        <v>24</v>
      </c>
      <c r="G46" s="58">
        <v>1900000</v>
      </c>
      <c r="H46" s="58">
        <v>406900</v>
      </c>
      <c r="I46" s="62">
        <f>H46/G46*100</f>
        <v>21.41578947368421</v>
      </c>
      <c r="J46" s="58">
        <v>1253805</v>
      </c>
      <c r="K46" s="58">
        <f>G46-1056288</f>
        <v>843712</v>
      </c>
      <c r="L46" s="58">
        <v>197517</v>
      </c>
      <c r="M46" s="63">
        <v>200</v>
      </c>
      <c r="N46" s="64">
        <v>516</v>
      </c>
      <c r="O46" s="65">
        <v>3.33</v>
      </c>
      <c r="P46" s="65">
        <v>3.33</v>
      </c>
      <c r="Q46" s="58">
        <f>K46/M46</f>
        <v>4218.5600000000004</v>
      </c>
      <c r="R46" s="58">
        <f>K46/O46</f>
        <v>253366.96696696695</v>
      </c>
      <c r="S46" s="66">
        <f>K46/O46/43560</f>
        <v>5.8165052104446042</v>
      </c>
      <c r="T46" s="65">
        <v>200</v>
      </c>
      <c r="U46" s="67"/>
    </row>
    <row r="47" spans="1:21" ht="14.45" x14ac:dyDescent="0.3">
      <c r="O47" s="54" t="s">
        <v>282</v>
      </c>
      <c r="Q47" s="50">
        <f>AVERAGE(Q44:Q46)</f>
        <v>1749.115483632133</v>
      </c>
    </row>
    <row r="48" spans="1:21" ht="14.45" x14ac:dyDescent="0.3">
      <c r="A48" s="48" t="s">
        <v>273</v>
      </c>
    </row>
    <row r="49" spans="1:21" s="60" customFormat="1" ht="43.15" x14ac:dyDescent="0.3">
      <c r="A49" s="60" t="s">
        <v>64</v>
      </c>
      <c r="B49" s="60" t="s">
        <v>65</v>
      </c>
      <c r="C49" s="61">
        <v>45343</v>
      </c>
      <c r="D49" s="58">
        <v>400000</v>
      </c>
      <c r="E49" s="60" t="s">
        <v>23</v>
      </c>
      <c r="F49" s="60" t="s">
        <v>58</v>
      </c>
      <c r="G49" s="58">
        <v>400000</v>
      </c>
      <c r="H49" s="58">
        <v>189300</v>
      </c>
      <c r="I49" s="62">
        <f>H49/G49*100</f>
        <v>47.325000000000003</v>
      </c>
      <c r="J49" s="58">
        <v>352471</v>
      </c>
      <c r="K49" s="58">
        <f>G49-99471</f>
        <v>300529</v>
      </c>
      <c r="L49" s="58">
        <v>253000</v>
      </c>
      <c r="M49" s="63">
        <v>650</v>
      </c>
      <c r="N49" s="64">
        <v>1485</v>
      </c>
      <c r="O49" s="65">
        <v>8.4120000000000008</v>
      </c>
      <c r="P49" s="65">
        <v>0.47099999999999997</v>
      </c>
      <c r="Q49" s="58">
        <f>K49/M49</f>
        <v>462.3523076923077</v>
      </c>
      <c r="R49" s="58">
        <f>K49/O49</f>
        <v>35726.224441274368</v>
      </c>
      <c r="S49" s="66">
        <f>K49/O49/43560</f>
        <v>0.82016125898242354</v>
      </c>
      <c r="T49" s="65">
        <v>650</v>
      </c>
      <c r="U49" s="67" t="s">
        <v>66</v>
      </c>
    </row>
    <row r="50" spans="1:21" s="60" customFormat="1" ht="14.45" x14ac:dyDescent="0.3">
      <c r="A50" s="60" t="s">
        <v>67</v>
      </c>
      <c r="B50" s="60" t="s">
        <v>68</v>
      </c>
      <c r="C50" s="61">
        <v>45043</v>
      </c>
      <c r="D50" s="58">
        <v>32000</v>
      </c>
      <c r="E50" s="60" t="s">
        <v>23</v>
      </c>
      <c r="F50" s="60" t="s">
        <v>24</v>
      </c>
      <c r="G50" s="58">
        <v>32000</v>
      </c>
      <c r="H50" s="58">
        <v>29100</v>
      </c>
      <c r="I50" s="62">
        <f>H50/G50*100</f>
        <v>90.9375</v>
      </c>
      <c r="J50" s="58">
        <v>65340</v>
      </c>
      <c r="K50" s="58">
        <f>G50-0</f>
        <v>32000</v>
      </c>
      <c r="L50" s="58">
        <v>65340</v>
      </c>
      <c r="M50" s="63">
        <v>242</v>
      </c>
      <c r="N50" s="64">
        <v>217</v>
      </c>
      <c r="O50" s="65">
        <v>1.206</v>
      </c>
      <c r="P50" s="65">
        <v>1.206</v>
      </c>
      <c r="Q50" s="58">
        <f>K50/M50</f>
        <v>132.23140495867767</v>
      </c>
      <c r="R50" s="58">
        <f>K50/O50</f>
        <v>26533.996683250414</v>
      </c>
      <c r="S50" s="66">
        <f>K50/O50/43560</f>
        <v>0.60913674663109307</v>
      </c>
      <c r="T50" s="65">
        <v>242</v>
      </c>
      <c r="U50" s="67"/>
    </row>
    <row r="51" spans="1:21" s="48" customFormat="1" ht="14.45" x14ac:dyDescent="0.3">
      <c r="C51" s="49"/>
      <c r="D51" s="50"/>
      <c r="G51" s="50"/>
      <c r="H51" s="50"/>
      <c r="I51" s="51"/>
      <c r="J51" s="50"/>
      <c r="K51" s="50"/>
      <c r="L51" s="50"/>
      <c r="M51" s="52"/>
      <c r="N51" s="53"/>
      <c r="O51" s="54" t="s">
        <v>282</v>
      </c>
      <c r="P51" s="54"/>
      <c r="Q51" s="50">
        <f>AVERAGE(Q49:Q50)</f>
        <v>297.29185632549269</v>
      </c>
      <c r="R51" s="50"/>
      <c r="S51" s="55"/>
      <c r="T51" s="54"/>
      <c r="U51" s="56"/>
    </row>
    <row r="52" spans="1:21" s="48" customFormat="1" ht="14.45" x14ac:dyDescent="0.3">
      <c r="A52" s="48" t="s">
        <v>274</v>
      </c>
      <c r="C52" s="49"/>
      <c r="D52" s="50"/>
      <c r="G52" s="50"/>
      <c r="H52" s="50"/>
      <c r="I52" s="51"/>
      <c r="J52" s="50"/>
      <c r="K52" s="50"/>
      <c r="L52" s="50"/>
      <c r="M52" s="52"/>
      <c r="N52" s="53"/>
      <c r="O52" s="54"/>
      <c r="P52" s="54"/>
      <c r="Q52" s="50"/>
      <c r="R52" s="50"/>
      <c r="S52" s="55"/>
      <c r="T52" s="54"/>
      <c r="U52" s="56"/>
    </row>
    <row r="53" spans="1:21" s="60" customFormat="1" ht="28.9" x14ac:dyDescent="0.3">
      <c r="A53" s="60" t="s">
        <v>69</v>
      </c>
      <c r="B53" s="60" t="s">
        <v>70</v>
      </c>
      <c r="C53" s="61">
        <v>44993</v>
      </c>
      <c r="D53" s="58">
        <v>600000</v>
      </c>
      <c r="E53" s="60" t="s">
        <v>23</v>
      </c>
      <c r="F53" s="60" t="s">
        <v>58</v>
      </c>
      <c r="G53" s="58">
        <v>600000</v>
      </c>
      <c r="H53" s="58">
        <v>586500</v>
      </c>
      <c r="I53" s="62">
        <f t="shared" ref="I53:I62" si="4">H53/G53*100</f>
        <v>97.75</v>
      </c>
      <c r="J53" s="58">
        <v>201845</v>
      </c>
      <c r="K53" s="58">
        <f>G53-0</f>
        <v>600000</v>
      </c>
      <c r="L53" s="58">
        <v>201845</v>
      </c>
      <c r="M53" s="63">
        <v>216</v>
      </c>
      <c r="N53" s="64">
        <v>0</v>
      </c>
      <c r="O53" s="65">
        <v>40.64</v>
      </c>
      <c r="P53" s="65">
        <v>38</v>
      </c>
      <c r="Q53" s="58">
        <f t="shared" ref="Q53:Q62" si="5">K53/M53</f>
        <v>2777.7777777777778</v>
      </c>
      <c r="R53" s="58">
        <f t="shared" ref="R53:R62" si="6">K53/O53</f>
        <v>14763.779527559054</v>
      </c>
      <c r="S53" s="66">
        <f t="shared" ref="S53:S62" si="7">K53/O53/43560</f>
        <v>0.33892974122036396</v>
      </c>
      <c r="T53" s="65">
        <v>0</v>
      </c>
      <c r="U53" s="67" t="s">
        <v>71</v>
      </c>
    </row>
    <row r="54" spans="1:21" s="60" customFormat="1" ht="14.45" x14ac:dyDescent="0.3">
      <c r="A54" s="60" t="s">
        <v>121</v>
      </c>
      <c r="B54" s="60" t="s">
        <v>122</v>
      </c>
      <c r="C54" s="61">
        <v>44726</v>
      </c>
      <c r="D54" s="58">
        <v>180000</v>
      </c>
      <c r="E54" s="60" t="s">
        <v>110</v>
      </c>
      <c r="F54" s="60" t="s">
        <v>24</v>
      </c>
      <c r="G54" s="58">
        <v>180000</v>
      </c>
      <c r="H54" s="58">
        <v>68500</v>
      </c>
      <c r="I54" s="62">
        <f t="shared" si="4"/>
        <v>38.055555555555557</v>
      </c>
      <c r="J54" s="58">
        <v>136566</v>
      </c>
      <c r="K54" s="58">
        <f>G54-126566</f>
        <v>53434</v>
      </c>
      <c r="L54" s="58">
        <v>10000</v>
      </c>
      <c r="M54" s="63">
        <v>27</v>
      </c>
      <c r="N54" s="64">
        <v>100</v>
      </c>
      <c r="O54" s="65">
        <v>6.2E-2</v>
      </c>
      <c r="P54" s="65">
        <v>6.2E-2</v>
      </c>
      <c r="Q54" s="58">
        <f t="shared" si="5"/>
        <v>1979.037037037037</v>
      </c>
      <c r="R54" s="58">
        <f t="shared" si="6"/>
        <v>861838.70967741939</v>
      </c>
      <c r="S54" s="66">
        <f t="shared" si="7"/>
        <v>19.785094345211647</v>
      </c>
      <c r="T54" s="65">
        <v>27</v>
      </c>
      <c r="U54" s="67"/>
    </row>
    <row r="55" spans="1:21" s="60" customFormat="1" ht="14.45" x14ac:dyDescent="0.3">
      <c r="A55" s="60" t="s">
        <v>125</v>
      </c>
      <c r="B55" s="60" t="s">
        <v>126</v>
      </c>
      <c r="C55" s="61">
        <v>45170</v>
      </c>
      <c r="D55" s="58">
        <v>239000</v>
      </c>
      <c r="E55" s="60" t="s">
        <v>23</v>
      </c>
      <c r="F55" s="60" t="s">
        <v>24</v>
      </c>
      <c r="G55" s="58">
        <v>239000</v>
      </c>
      <c r="H55" s="58">
        <v>120400</v>
      </c>
      <c r="I55" s="62">
        <f t="shared" si="4"/>
        <v>50.376569037656907</v>
      </c>
      <c r="J55" s="58">
        <v>193178</v>
      </c>
      <c r="K55" s="58">
        <f>G55-151812</f>
        <v>87188</v>
      </c>
      <c r="L55" s="58">
        <v>41366</v>
      </c>
      <c r="M55" s="63">
        <v>87.5</v>
      </c>
      <c r="N55" s="64">
        <v>93</v>
      </c>
      <c r="O55" s="65">
        <v>0.187</v>
      </c>
      <c r="P55" s="65">
        <v>0.187</v>
      </c>
      <c r="Q55" s="58">
        <f t="shared" si="5"/>
        <v>996.43428571428569</v>
      </c>
      <c r="R55" s="58">
        <f t="shared" si="6"/>
        <v>466245.98930481286</v>
      </c>
      <c r="S55" s="66">
        <f t="shared" si="7"/>
        <v>10.703535108007641</v>
      </c>
      <c r="T55" s="65">
        <v>87.5</v>
      </c>
      <c r="U55" s="67"/>
    </row>
    <row r="56" spans="1:21" s="60" customFormat="1" ht="14.45" x14ac:dyDescent="0.3">
      <c r="A56" s="60" t="s">
        <v>127</v>
      </c>
      <c r="B56" s="60" t="s">
        <v>128</v>
      </c>
      <c r="C56" s="61">
        <v>44761</v>
      </c>
      <c r="D56" s="58">
        <v>257500</v>
      </c>
      <c r="E56" s="60" t="s">
        <v>23</v>
      </c>
      <c r="F56" s="60" t="s">
        <v>24</v>
      </c>
      <c r="G56" s="58">
        <v>257500</v>
      </c>
      <c r="H56" s="58">
        <v>120100</v>
      </c>
      <c r="I56" s="62">
        <f t="shared" si="4"/>
        <v>46.640776699029125</v>
      </c>
      <c r="J56" s="58">
        <v>234472</v>
      </c>
      <c r="K56" s="58">
        <f>G56-199472</f>
        <v>58028</v>
      </c>
      <c r="L56" s="58">
        <v>35000</v>
      </c>
      <c r="M56" s="63">
        <v>100</v>
      </c>
      <c r="N56" s="64">
        <v>118</v>
      </c>
      <c r="O56" s="65">
        <v>0.27100000000000002</v>
      </c>
      <c r="P56" s="65">
        <v>0.27100000000000002</v>
      </c>
      <c r="Q56" s="58">
        <f t="shared" si="5"/>
        <v>580.28</v>
      </c>
      <c r="R56" s="58">
        <f t="shared" si="6"/>
        <v>214125.46125461254</v>
      </c>
      <c r="S56" s="66">
        <f t="shared" si="7"/>
        <v>4.9156441977642915</v>
      </c>
      <c r="T56" s="65">
        <v>100</v>
      </c>
      <c r="U56" s="67"/>
    </row>
    <row r="57" spans="1:21" s="60" customFormat="1" ht="14.45" x14ac:dyDescent="0.3">
      <c r="A57" s="60" t="s">
        <v>142</v>
      </c>
      <c r="B57" s="60" t="s">
        <v>143</v>
      </c>
      <c r="C57" s="61">
        <v>45091</v>
      </c>
      <c r="D57" s="58">
        <v>140000</v>
      </c>
      <c r="E57" s="60" t="s">
        <v>110</v>
      </c>
      <c r="F57" s="60" t="s">
        <v>58</v>
      </c>
      <c r="G57" s="58">
        <v>140000</v>
      </c>
      <c r="H57" s="58">
        <v>42200</v>
      </c>
      <c r="I57" s="62">
        <f t="shared" si="4"/>
        <v>30.142857142857142</v>
      </c>
      <c r="J57" s="58">
        <v>78588</v>
      </c>
      <c r="K57" s="58">
        <f>G57-47688</f>
        <v>92312</v>
      </c>
      <c r="L57" s="58">
        <v>30900</v>
      </c>
      <c r="M57" s="63">
        <v>103</v>
      </c>
      <c r="N57" s="64">
        <v>117</v>
      </c>
      <c r="O57" s="65">
        <v>0.27700000000000002</v>
      </c>
      <c r="P57" s="65">
        <v>0.27700000000000002</v>
      </c>
      <c r="Q57" s="58">
        <f t="shared" si="5"/>
        <v>896.23300970873788</v>
      </c>
      <c r="R57" s="58">
        <f t="shared" si="6"/>
        <v>333256.31768953067</v>
      </c>
      <c r="S57" s="66">
        <f t="shared" si="7"/>
        <v>7.650512343653137</v>
      </c>
      <c r="T57" s="65">
        <v>103</v>
      </c>
      <c r="U57" s="67" t="s">
        <v>144</v>
      </c>
    </row>
    <row r="58" spans="1:21" s="60" customFormat="1" ht="14.45" x14ac:dyDescent="0.3">
      <c r="A58" s="60" t="s">
        <v>145</v>
      </c>
      <c r="B58" s="60" t="s">
        <v>146</v>
      </c>
      <c r="C58" s="61">
        <v>45343</v>
      </c>
      <c r="D58" s="58">
        <v>97000</v>
      </c>
      <c r="E58" s="60" t="s">
        <v>23</v>
      </c>
      <c r="F58" s="60" t="s">
        <v>24</v>
      </c>
      <c r="G58" s="58">
        <v>97000</v>
      </c>
      <c r="H58" s="58">
        <v>57000</v>
      </c>
      <c r="I58" s="62">
        <f t="shared" si="4"/>
        <v>58.762886597938149</v>
      </c>
      <c r="J58" s="58">
        <v>117920</v>
      </c>
      <c r="K58" s="58">
        <f>G58-82920</f>
        <v>14080</v>
      </c>
      <c r="L58" s="58">
        <v>35000</v>
      </c>
      <c r="M58" s="63">
        <v>100</v>
      </c>
      <c r="N58" s="64">
        <v>100</v>
      </c>
      <c r="O58" s="65">
        <v>0.23</v>
      </c>
      <c r="P58" s="65">
        <v>0.23</v>
      </c>
      <c r="Q58" s="58">
        <f t="shared" si="5"/>
        <v>140.80000000000001</v>
      </c>
      <c r="R58" s="58">
        <f t="shared" si="6"/>
        <v>61217.391304347824</v>
      </c>
      <c r="S58" s="66">
        <f t="shared" si="7"/>
        <v>1.4053579270970575</v>
      </c>
      <c r="T58" s="65">
        <v>100</v>
      </c>
      <c r="U58" s="67"/>
    </row>
    <row r="59" spans="1:21" s="60" customFormat="1" ht="14.45" x14ac:dyDescent="0.3">
      <c r="A59" s="60" t="s">
        <v>147</v>
      </c>
      <c r="B59" s="60" t="s">
        <v>148</v>
      </c>
      <c r="C59" s="61">
        <v>45142</v>
      </c>
      <c r="D59" s="58">
        <v>269250</v>
      </c>
      <c r="E59" s="60" t="s">
        <v>110</v>
      </c>
      <c r="F59" s="60" t="s">
        <v>24</v>
      </c>
      <c r="G59" s="58">
        <v>269250</v>
      </c>
      <c r="H59" s="58">
        <v>124800</v>
      </c>
      <c r="I59" s="62">
        <f t="shared" si="4"/>
        <v>46.350974930362113</v>
      </c>
      <c r="J59" s="58">
        <v>320120</v>
      </c>
      <c r="K59" s="58">
        <f>G59-260182</f>
        <v>9068</v>
      </c>
      <c r="L59" s="58">
        <v>59938</v>
      </c>
      <c r="M59" s="63">
        <v>137</v>
      </c>
      <c r="N59" s="64">
        <v>66</v>
      </c>
      <c r="O59" s="65">
        <v>0.20799999999999999</v>
      </c>
      <c r="P59" s="65">
        <v>0.20799999999999999</v>
      </c>
      <c r="Q59" s="58">
        <f t="shared" si="5"/>
        <v>66.189781021897815</v>
      </c>
      <c r="R59" s="58">
        <f t="shared" si="6"/>
        <v>43596.153846153851</v>
      </c>
      <c r="S59" s="66">
        <f t="shared" si="7"/>
        <v>1.0008299781027055</v>
      </c>
      <c r="T59" s="65">
        <v>137</v>
      </c>
      <c r="U59" s="67"/>
    </row>
    <row r="60" spans="1:21" s="60" customFormat="1" ht="14.45" x14ac:dyDescent="0.3">
      <c r="A60" s="60" t="s">
        <v>147</v>
      </c>
      <c r="B60" s="60" t="s">
        <v>148</v>
      </c>
      <c r="C60" s="61">
        <v>45005</v>
      </c>
      <c r="D60" s="58">
        <v>300000</v>
      </c>
      <c r="E60" s="60" t="s">
        <v>23</v>
      </c>
      <c r="F60" s="60" t="s">
        <v>24</v>
      </c>
      <c r="G60" s="58">
        <v>300000</v>
      </c>
      <c r="H60" s="58">
        <v>123800</v>
      </c>
      <c r="I60" s="62">
        <f t="shared" si="4"/>
        <v>41.266666666666666</v>
      </c>
      <c r="J60" s="58">
        <v>320120</v>
      </c>
      <c r="K60" s="58">
        <f>G60-260182</f>
        <v>39818</v>
      </c>
      <c r="L60" s="58">
        <v>59938</v>
      </c>
      <c r="M60" s="63">
        <v>137</v>
      </c>
      <c r="N60" s="64">
        <v>66</v>
      </c>
      <c r="O60" s="65">
        <v>0.20799999999999999</v>
      </c>
      <c r="P60" s="65">
        <v>0.20799999999999999</v>
      </c>
      <c r="Q60" s="58">
        <f t="shared" si="5"/>
        <v>290.64233576642334</v>
      </c>
      <c r="R60" s="58">
        <f t="shared" si="6"/>
        <v>191432.69230769231</v>
      </c>
      <c r="S60" s="66">
        <f t="shared" si="7"/>
        <v>4.3946899060535429</v>
      </c>
      <c r="T60" s="65">
        <v>137</v>
      </c>
      <c r="U60" s="67"/>
    </row>
    <row r="61" spans="1:21" s="60" customFormat="1" ht="14.45" x14ac:dyDescent="0.3">
      <c r="A61" s="60" t="s">
        <v>149</v>
      </c>
      <c r="B61" s="60" t="s">
        <v>150</v>
      </c>
      <c r="C61" s="61">
        <v>44956</v>
      </c>
      <c r="D61" s="58">
        <v>50000</v>
      </c>
      <c r="E61" s="60" t="s">
        <v>23</v>
      </c>
      <c r="F61" s="60" t="s">
        <v>24</v>
      </c>
      <c r="G61" s="58">
        <v>50000</v>
      </c>
      <c r="H61" s="58">
        <v>14400</v>
      </c>
      <c r="I61" s="62">
        <f t="shared" si="4"/>
        <v>28.799999999999997</v>
      </c>
      <c r="J61" s="58">
        <v>51697</v>
      </c>
      <c r="K61" s="58">
        <f>G61-32797</f>
        <v>17203</v>
      </c>
      <c r="L61" s="58">
        <v>18900</v>
      </c>
      <c r="M61" s="63">
        <v>54</v>
      </c>
      <c r="N61" s="64">
        <v>82</v>
      </c>
      <c r="O61" s="65">
        <v>0.10199999999999999</v>
      </c>
      <c r="P61" s="65">
        <v>0.10199999999999999</v>
      </c>
      <c r="Q61" s="58">
        <f t="shared" si="5"/>
        <v>318.57407407407408</v>
      </c>
      <c r="R61" s="58">
        <f t="shared" si="6"/>
        <v>168656.86274509804</v>
      </c>
      <c r="S61" s="66">
        <f t="shared" si="7"/>
        <v>3.8718288049838852</v>
      </c>
      <c r="T61" s="65">
        <v>54</v>
      </c>
      <c r="U61" s="67"/>
    </row>
    <row r="62" spans="1:21" s="60" customFormat="1" ht="14.45" x14ac:dyDescent="0.3">
      <c r="A62" s="60" t="s">
        <v>151</v>
      </c>
      <c r="B62" s="60" t="s">
        <v>152</v>
      </c>
      <c r="C62" s="61">
        <v>45133</v>
      </c>
      <c r="D62" s="58">
        <v>125000</v>
      </c>
      <c r="E62" s="60" t="s">
        <v>23</v>
      </c>
      <c r="F62" s="60" t="s">
        <v>24</v>
      </c>
      <c r="G62" s="58">
        <v>125000</v>
      </c>
      <c r="H62" s="58">
        <v>40200</v>
      </c>
      <c r="I62" s="62">
        <f t="shared" si="4"/>
        <v>32.159999999999997</v>
      </c>
      <c r="J62" s="58">
        <v>96245</v>
      </c>
      <c r="K62" s="58">
        <f>G62-67370</f>
        <v>57630</v>
      </c>
      <c r="L62" s="58">
        <v>28875</v>
      </c>
      <c r="M62" s="63">
        <v>75</v>
      </c>
      <c r="N62" s="64">
        <v>110</v>
      </c>
      <c r="O62" s="65">
        <v>0.189</v>
      </c>
      <c r="P62" s="65">
        <v>0.189</v>
      </c>
      <c r="Q62" s="58">
        <f t="shared" si="5"/>
        <v>768.4</v>
      </c>
      <c r="R62" s="58">
        <f t="shared" si="6"/>
        <v>304920.63492063491</v>
      </c>
      <c r="S62" s="66">
        <f t="shared" si="7"/>
        <v>7.000014575772151</v>
      </c>
      <c r="T62" s="65">
        <v>75</v>
      </c>
      <c r="U62" s="67"/>
    </row>
    <row r="63" spans="1:21" ht="14.45" x14ac:dyDescent="0.3">
      <c r="O63" s="54" t="s">
        <v>282</v>
      </c>
      <c r="Q63" s="50">
        <f>AVERAGE(Q53:Q62)</f>
        <v>881.43683011002338</v>
      </c>
    </row>
    <row r="64" spans="1:21" ht="14.45" x14ac:dyDescent="0.3">
      <c r="A64" s="48" t="s">
        <v>275</v>
      </c>
    </row>
    <row r="65" spans="1:21" s="60" customFormat="1" ht="14.45" x14ac:dyDescent="0.3">
      <c r="A65" s="60" t="s">
        <v>72</v>
      </c>
      <c r="B65" s="60" t="s">
        <v>73</v>
      </c>
      <c r="C65" s="61">
        <v>44742</v>
      </c>
      <c r="D65" s="58">
        <v>400000</v>
      </c>
      <c r="E65" s="60" t="s">
        <v>23</v>
      </c>
      <c r="F65" s="60" t="s">
        <v>58</v>
      </c>
      <c r="G65" s="58">
        <v>400000</v>
      </c>
      <c r="H65" s="58">
        <v>222800</v>
      </c>
      <c r="I65" s="62">
        <f>H65/G65*100</f>
        <v>55.7</v>
      </c>
      <c r="J65" s="58">
        <v>503367</v>
      </c>
      <c r="K65" s="58">
        <f>G65-236927</f>
        <v>163073</v>
      </c>
      <c r="L65" s="58">
        <v>266440</v>
      </c>
      <c r="M65" s="63">
        <v>206</v>
      </c>
      <c r="N65" s="64">
        <v>370</v>
      </c>
      <c r="O65" s="65">
        <v>19.91</v>
      </c>
      <c r="P65" s="65">
        <v>18.16</v>
      </c>
      <c r="Q65" s="58">
        <f>K65/M65</f>
        <v>791.61650485436894</v>
      </c>
      <c r="R65" s="58">
        <f>K65/O65</f>
        <v>8190.5072827724762</v>
      </c>
      <c r="S65" s="66">
        <f>K65/O65/43560</f>
        <v>0.18802817453563994</v>
      </c>
      <c r="T65" s="65">
        <v>206</v>
      </c>
      <c r="U65" s="67" t="s">
        <v>74</v>
      </c>
    </row>
    <row r="66" spans="1:21" s="60" customFormat="1" ht="14.45" x14ac:dyDescent="0.3">
      <c r="A66" s="60" t="s">
        <v>75</v>
      </c>
      <c r="B66" s="60" t="s">
        <v>76</v>
      </c>
      <c r="C66" s="61">
        <v>45021</v>
      </c>
      <c r="D66" s="58">
        <v>255000</v>
      </c>
      <c r="E66" s="60" t="s">
        <v>23</v>
      </c>
      <c r="F66" s="60" t="s">
        <v>24</v>
      </c>
      <c r="G66" s="58">
        <v>255000</v>
      </c>
      <c r="H66" s="58">
        <v>124800</v>
      </c>
      <c r="I66" s="62">
        <f>H66/G66*100</f>
        <v>48.941176470588239</v>
      </c>
      <c r="J66" s="58">
        <v>200623</v>
      </c>
      <c r="K66" s="58">
        <f>G66-95323</f>
        <v>159677</v>
      </c>
      <c r="L66" s="58">
        <v>105300</v>
      </c>
      <c r="M66" s="63">
        <v>195</v>
      </c>
      <c r="N66" s="64">
        <v>260</v>
      </c>
      <c r="O66" s="65">
        <v>1.48</v>
      </c>
      <c r="P66" s="65">
        <v>1.48</v>
      </c>
      <c r="Q66" s="58">
        <f>K66/M66</f>
        <v>818.8564102564103</v>
      </c>
      <c r="R66" s="58">
        <f>K66/O66</f>
        <v>107889.86486486487</v>
      </c>
      <c r="S66" s="66">
        <f>K66/O66/43560</f>
        <v>2.4768104881741246</v>
      </c>
      <c r="T66" s="65">
        <v>195</v>
      </c>
      <c r="U66" s="67"/>
    </row>
    <row r="67" spans="1:21" s="60" customFormat="1" ht="14.45" x14ac:dyDescent="0.3">
      <c r="A67" s="60" t="s">
        <v>77</v>
      </c>
      <c r="B67" s="60" t="s">
        <v>78</v>
      </c>
      <c r="C67" s="61">
        <v>44673</v>
      </c>
      <c r="D67" s="58">
        <v>170000</v>
      </c>
      <c r="E67" s="60" t="s">
        <v>37</v>
      </c>
      <c r="F67" s="60" t="s">
        <v>24</v>
      </c>
      <c r="G67" s="58">
        <v>170000</v>
      </c>
      <c r="H67" s="58">
        <v>0</v>
      </c>
      <c r="I67" s="62">
        <f>H67/G67*100</f>
        <v>0</v>
      </c>
      <c r="J67" s="58">
        <v>138132</v>
      </c>
      <c r="K67" s="58">
        <f>G67-0</f>
        <v>170000</v>
      </c>
      <c r="L67" s="58">
        <v>138132</v>
      </c>
      <c r="M67" s="63">
        <v>255.8</v>
      </c>
      <c r="N67" s="64">
        <v>384</v>
      </c>
      <c r="O67" s="65">
        <v>2.548</v>
      </c>
      <c r="P67" s="65">
        <v>2.548</v>
      </c>
      <c r="Q67" s="58">
        <f>K67/M67</f>
        <v>664.58170445660664</v>
      </c>
      <c r="R67" s="58">
        <f>K67/O67</f>
        <v>66718.99529042386</v>
      </c>
      <c r="S67" s="66">
        <f>K67/O67/43560</f>
        <v>1.5316573758132199</v>
      </c>
      <c r="T67" s="65">
        <v>255.8</v>
      </c>
      <c r="U67" s="67"/>
    </row>
    <row r="68" spans="1:21" s="60" customFormat="1" ht="14.45" x14ac:dyDescent="0.3">
      <c r="A68" s="60" t="s">
        <v>79</v>
      </c>
      <c r="B68" s="60" t="s">
        <v>80</v>
      </c>
      <c r="C68" s="61">
        <v>45124</v>
      </c>
      <c r="D68" s="58">
        <v>729000</v>
      </c>
      <c r="E68" s="60" t="s">
        <v>23</v>
      </c>
      <c r="F68" s="60" t="s">
        <v>24</v>
      </c>
      <c r="G68" s="58">
        <v>729000</v>
      </c>
      <c r="H68" s="58">
        <v>254300</v>
      </c>
      <c r="I68" s="62">
        <f>H68/G68*100</f>
        <v>34.883401920438956</v>
      </c>
      <c r="J68" s="58">
        <v>628181</v>
      </c>
      <c r="K68" s="58">
        <f>G68-422981</f>
        <v>306019</v>
      </c>
      <c r="L68" s="58">
        <v>205200</v>
      </c>
      <c r="M68" s="63">
        <v>380</v>
      </c>
      <c r="N68" s="64">
        <v>290</v>
      </c>
      <c r="O68" s="65">
        <v>2.6629999999999998</v>
      </c>
      <c r="P68" s="65">
        <v>2.6</v>
      </c>
      <c r="Q68" s="58">
        <f>K68/M68</f>
        <v>805.31315789473683</v>
      </c>
      <c r="R68" s="58">
        <f>K68/O68</f>
        <v>114915.13330829891</v>
      </c>
      <c r="S68" s="66">
        <f>K68/O68/43560</f>
        <v>2.6380884597864767</v>
      </c>
      <c r="T68" s="65">
        <v>380</v>
      </c>
      <c r="U68" s="67"/>
    </row>
    <row r="69" spans="1:21" ht="14.45" x14ac:dyDescent="0.3">
      <c r="O69" s="54" t="s">
        <v>282</v>
      </c>
      <c r="Q69" s="50">
        <f>AVERAGE(Q65:Q68)</f>
        <v>770.09194436553071</v>
      </c>
    </row>
    <row r="70" spans="1:21" ht="14.45" x14ac:dyDescent="0.3">
      <c r="A70" s="48" t="s">
        <v>276</v>
      </c>
    </row>
    <row r="71" spans="1:21" s="60" customFormat="1" ht="14.45" x14ac:dyDescent="0.3">
      <c r="A71" s="60" t="s">
        <v>81</v>
      </c>
      <c r="B71" s="60" t="s">
        <v>82</v>
      </c>
      <c r="C71" s="61">
        <v>44785</v>
      </c>
      <c r="D71" s="58">
        <v>400000</v>
      </c>
      <c r="E71" s="60" t="s">
        <v>23</v>
      </c>
      <c r="F71" s="60" t="s">
        <v>24</v>
      </c>
      <c r="G71" s="58">
        <v>400000</v>
      </c>
      <c r="H71" s="58">
        <v>97200</v>
      </c>
      <c r="I71" s="62">
        <f>H71/G71*100</f>
        <v>24.3</v>
      </c>
      <c r="J71" s="58">
        <v>383225</v>
      </c>
      <c r="K71" s="58">
        <f>G71-0</f>
        <v>400000</v>
      </c>
      <c r="L71" s="58">
        <v>336825</v>
      </c>
      <c r="M71" s="63">
        <v>950</v>
      </c>
      <c r="N71" s="64">
        <v>501.56317100000001</v>
      </c>
      <c r="O71" s="65">
        <v>10.939</v>
      </c>
      <c r="P71" s="65">
        <v>10.939</v>
      </c>
      <c r="Q71" s="58">
        <f>K71/M71</f>
        <v>421.05263157894734</v>
      </c>
      <c r="R71" s="58">
        <f>K71/O71</f>
        <v>36566.413748971572</v>
      </c>
      <c r="S71" s="66">
        <f>K71/O71/43560</f>
        <v>0.83944935144562838</v>
      </c>
      <c r="T71" s="65">
        <v>950</v>
      </c>
      <c r="U71" s="67"/>
    </row>
    <row r="72" spans="1:21" s="60" customFormat="1" ht="14.45" x14ac:dyDescent="0.3">
      <c r="A72" s="60" t="s">
        <v>83</v>
      </c>
      <c r="B72" s="60" t="s">
        <v>84</v>
      </c>
      <c r="C72" s="61">
        <v>44656</v>
      </c>
      <c r="D72" s="58">
        <v>650000</v>
      </c>
      <c r="E72" s="60" t="s">
        <v>23</v>
      </c>
      <c r="F72" s="60" t="s">
        <v>24</v>
      </c>
      <c r="G72" s="58">
        <v>650000</v>
      </c>
      <c r="H72" s="58">
        <v>346100</v>
      </c>
      <c r="I72" s="62">
        <f>H72/G72*100</f>
        <v>53.246153846153845</v>
      </c>
      <c r="J72" s="58">
        <v>640127</v>
      </c>
      <c r="K72" s="58">
        <f>G72-461927</f>
        <v>188073</v>
      </c>
      <c r="L72" s="58">
        <v>178200</v>
      </c>
      <c r="M72" s="63">
        <v>330</v>
      </c>
      <c r="N72" s="64">
        <v>990</v>
      </c>
      <c r="O72" s="65">
        <v>7.5</v>
      </c>
      <c r="P72" s="65">
        <v>7.5</v>
      </c>
      <c r="Q72" s="58">
        <f>K72/M72</f>
        <v>569.91818181818178</v>
      </c>
      <c r="R72" s="58">
        <f>K72/O72</f>
        <v>25076.400000000001</v>
      </c>
      <c r="S72" s="66">
        <f>K72/O72/43560</f>
        <v>0.57567493112947665</v>
      </c>
      <c r="T72" s="65">
        <v>330</v>
      </c>
      <c r="U72" s="67"/>
    </row>
    <row r="73" spans="1:21" s="60" customFormat="1" ht="14.45" x14ac:dyDescent="0.3">
      <c r="A73" s="60" t="s">
        <v>87</v>
      </c>
      <c r="B73" s="60" t="s">
        <v>88</v>
      </c>
      <c r="C73" s="61">
        <v>45078</v>
      </c>
      <c r="D73" s="58">
        <v>670082</v>
      </c>
      <c r="E73" s="60" t="s">
        <v>23</v>
      </c>
      <c r="F73" s="60" t="s">
        <v>24</v>
      </c>
      <c r="G73" s="58">
        <v>670082</v>
      </c>
      <c r="H73" s="58">
        <v>239200</v>
      </c>
      <c r="I73" s="62">
        <f>H73/G73*100</f>
        <v>35.697123635614744</v>
      </c>
      <c r="J73" s="58">
        <v>440655</v>
      </c>
      <c r="K73" s="58">
        <f>G73-246255</f>
        <v>423827</v>
      </c>
      <c r="L73" s="58">
        <v>194400</v>
      </c>
      <c r="M73" s="63">
        <v>240</v>
      </c>
      <c r="N73" s="64">
        <v>509</v>
      </c>
      <c r="O73" s="65">
        <v>2.8039999999999998</v>
      </c>
      <c r="P73" s="65">
        <v>2.8039999999999998</v>
      </c>
      <c r="Q73" s="58">
        <f>K73/M73</f>
        <v>1765.9458333333334</v>
      </c>
      <c r="R73" s="58">
        <f>K73/O73</f>
        <v>151150.85592011412</v>
      </c>
      <c r="S73" s="66">
        <f>K73/O73/43560</f>
        <v>3.4699461873304434</v>
      </c>
      <c r="T73" s="65">
        <v>240</v>
      </c>
      <c r="U73" s="67"/>
    </row>
    <row r="74" spans="1:21" s="60" customFormat="1" ht="14.45" x14ac:dyDescent="0.3">
      <c r="A74" s="60" t="s">
        <v>89</v>
      </c>
      <c r="B74" s="60" t="s">
        <v>90</v>
      </c>
      <c r="C74" s="61">
        <v>45090</v>
      </c>
      <c r="D74" s="58">
        <v>105000</v>
      </c>
      <c r="E74" s="60" t="s">
        <v>23</v>
      </c>
      <c r="F74" s="60" t="s">
        <v>24</v>
      </c>
      <c r="G74" s="58">
        <v>105000</v>
      </c>
      <c r="H74" s="58">
        <v>74500</v>
      </c>
      <c r="I74" s="62">
        <f>H74/G74*100</f>
        <v>70.952380952380949</v>
      </c>
      <c r="J74" s="58">
        <v>118951</v>
      </c>
      <c r="K74" s="58">
        <f>G74-0</f>
        <v>105000</v>
      </c>
      <c r="L74" s="58">
        <v>118951</v>
      </c>
      <c r="M74" s="63">
        <v>220</v>
      </c>
      <c r="N74" s="64">
        <v>0</v>
      </c>
      <c r="O74" s="65">
        <v>2.2029999999999998</v>
      </c>
      <c r="P74" s="65">
        <v>2.2029999999999998</v>
      </c>
      <c r="Q74" s="58">
        <f>K74/M74</f>
        <v>477.27272727272725</v>
      </c>
      <c r="R74" s="58">
        <f>K74/O74</f>
        <v>47662.278710848848</v>
      </c>
      <c r="S74" s="66">
        <f>K74/O74/43560</f>
        <v>1.0941753606714613</v>
      </c>
      <c r="T74" s="65">
        <v>0</v>
      </c>
      <c r="U74" s="67"/>
    </row>
    <row r="75" spans="1:21" s="60" customFormat="1" ht="14.45" x14ac:dyDescent="0.3">
      <c r="A75" s="60" t="s">
        <v>91</v>
      </c>
      <c r="B75" s="60" t="s">
        <v>92</v>
      </c>
      <c r="C75" s="61">
        <v>44775</v>
      </c>
      <c r="D75" s="58">
        <v>100000</v>
      </c>
      <c r="E75" s="60" t="s">
        <v>23</v>
      </c>
      <c r="F75" s="60" t="s">
        <v>24</v>
      </c>
      <c r="G75" s="58">
        <v>100000</v>
      </c>
      <c r="H75" s="58">
        <v>0</v>
      </c>
      <c r="I75" s="62">
        <f>H75/G75*100</f>
        <v>0</v>
      </c>
      <c r="J75" s="58">
        <v>91800</v>
      </c>
      <c r="K75" s="58">
        <f>G75-0</f>
        <v>100000</v>
      </c>
      <c r="L75" s="58">
        <v>91800</v>
      </c>
      <c r="M75" s="63">
        <v>170</v>
      </c>
      <c r="N75" s="64">
        <v>160</v>
      </c>
      <c r="O75" s="65">
        <v>0.81899999999999995</v>
      </c>
      <c r="P75" s="65">
        <v>0.81899999999999995</v>
      </c>
      <c r="Q75" s="58">
        <f>K75/M75</f>
        <v>588.23529411764707</v>
      </c>
      <c r="R75" s="58">
        <f>K75/O75</f>
        <v>122100.12210012211</v>
      </c>
      <c r="S75" s="66">
        <f>K75/O75/43560</f>
        <v>2.8030331060634093</v>
      </c>
      <c r="T75" s="65">
        <v>170</v>
      </c>
      <c r="U75" s="67"/>
    </row>
    <row r="76" spans="1:21" ht="14.45" x14ac:dyDescent="0.3">
      <c r="O76" s="54" t="s">
        <v>282</v>
      </c>
      <c r="Q76" s="50">
        <f>AVERAGE(Q71:Q75)</f>
        <v>764.48493362416741</v>
      </c>
    </row>
    <row r="77" spans="1:21" ht="14.45" x14ac:dyDescent="0.3">
      <c r="A77" s="48" t="s">
        <v>277</v>
      </c>
    </row>
    <row r="78" spans="1:21" s="60" customFormat="1" ht="14.45" x14ac:dyDescent="0.3">
      <c r="A78" s="60" t="s">
        <v>93</v>
      </c>
      <c r="B78" s="60" t="s">
        <v>94</v>
      </c>
      <c r="C78" s="61">
        <v>44952</v>
      </c>
      <c r="D78" s="58">
        <v>300000</v>
      </c>
      <c r="E78" s="60" t="s">
        <v>37</v>
      </c>
      <c r="F78" s="60" t="s">
        <v>24</v>
      </c>
      <c r="G78" s="58">
        <v>300000</v>
      </c>
      <c r="H78" s="58">
        <v>161400</v>
      </c>
      <c r="I78" s="62">
        <f>H78/G78*100</f>
        <v>53.800000000000004</v>
      </c>
      <c r="J78" s="58">
        <v>329454</v>
      </c>
      <c r="K78" s="58">
        <f>G78-214654</f>
        <v>85346</v>
      </c>
      <c r="L78" s="58">
        <v>114800</v>
      </c>
      <c r="M78" s="63">
        <v>328</v>
      </c>
      <c r="N78" s="64">
        <v>77.5</v>
      </c>
      <c r="O78" s="65">
        <v>0.71399999999999997</v>
      </c>
      <c r="P78" s="65">
        <v>0.71399999999999997</v>
      </c>
      <c r="Q78" s="58">
        <f>K78/M78</f>
        <v>260.20121951219511</v>
      </c>
      <c r="R78" s="58">
        <f>K78/O78</f>
        <v>119532.21288515406</v>
      </c>
      <c r="S78" s="66">
        <f>K78/O78/43560</f>
        <v>2.7440820221568885</v>
      </c>
      <c r="T78" s="65">
        <v>328</v>
      </c>
      <c r="U78" s="67"/>
    </row>
    <row r="79" spans="1:21" ht="14.45" x14ac:dyDescent="0.3">
      <c r="O79" s="54" t="s">
        <v>282</v>
      </c>
      <c r="Q79" s="50">
        <v>260</v>
      </c>
    </row>
    <row r="80" spans="1:21" ht="14.45" x14ac:dyDescent="0.3">
      <c r="A80" s="48" t="s">
        <v>278</v>
      </c>
    </row>
    <row r="81" spans="1:21" s="60" customFormat="1" ht="14.45" x14ac:dyDescent="0.3">
      <c r="A81" s="60" t="s">
        <v>136</v>
      </c>
      <c r="B81" s="60" t="s">
        <v>137</v>
      </c>
      <c r="C81" s="61">
        <v>45414</v>
      </c>
      <c r="D81" s="58">
        <v>294500</v>
      </c>
      <c r="E81" s="60" t="s">
        <v>23</v>
      </c>
      <c r="F81" s="60" t="s">
        <v>24</v>
      </c>
      <c r="G81" s="58">
        <v>294500</v>
      </c>
      <c r="H81" s="58">
        <v>339700</v>
      </c>
      <c r="I81" s="62">
        <f>H81/G81*100</f>
        <v>115.34804753820033</v>
      </c>
      <c r="J81" s="69">
        <v>0</v>
      </c>
      <c r="K81" s="58">
        <f>G81-0</f>
        <v>294500</v>
      </c>
      <c r="L81" s="58">
        <v>0</v>
      </c>
      <c r="M81" s="63">
        <v>264</v>
      </c>
      <c r="N81" s="64">
        <v>0</v>
      </c>
      <c r="O81" s="65">
        <v>2.5</v>
      </c>
      <c r="P81" s="65">
        <v>2.5</v>
      </c>
      <c r="Q81" s="58">
        <f>K81/M81</f>
        <v>1115.530303030303</v>
      </c>
      <c r="R81" s="58">
        <f>K81/O81</f>
        <v>117800</v>
      </c>
      <c r="S81" s="66">
        <f>K81/O81/43560</f>
        <v>2.7043158861340681</v>
      </c>
      <c r="T81" s="65">
        <v>0</v>
      </c>
      <c r="U81" s="67"/>
    </row>
    <row r="82" spans="1:21" s="60" customFormat="1" ht="14.45" x14ac:dyDescent="0.3">
      <c r="A82" s="60" t="s">
        <v>138</v>
      </c>
      <c r="B82" s="60" t="s">
        <v>139</v>
      </c>
      <c r="C82" s="61">
        <v>45146</v>
      </c>
      <c r="D82" s="58">
        <v>297500</v>
      </c>
      <c r="E82" s="60" t="s">
        <v>23</v>
      </c>
      <c r="F82" s="60" t="s">
        <v>24</v>
      </c>
      <c r="G82" s="58">
        <v>297500</v>
      </c>
      <c r="H82" s="58">
        <v>137200</v>
      </c>
      <c r="I82" s="62">
        <f>H82/G82*100</f>
        <v>46.117647058823529</v>
      </c>
      <c r="J82" s="69">
        <v>0</v>
      </c>
      <c r="K82" s="58">
        <f>G82-0</f>
        <v>297500</v>
      </c>
      <c r="L82" s="58">
        <v>0</v>
      </c>
      <c r="M82" s="63">
        <v>436</v>
      </c>
      <c r="N82" s="64">
        <v>0</v>
      </c>
      <c r="O82" s="65">
        <v>0</v>
      </c>
      <c r="P82" s="65">
        <v>0</v>
      </c>
      <c r="Q82" s="58">
        <f>K82/M82</f>
        <v>682.33944954128435</v>
      </c>
      <c r="R82" s="58" t="e">
        <f>K82/O82</f>
        <v>#DIV/0!</v>
      </c>
      <c r="S82" s="66" t="e">
        <f>K82/O82/43560</f>
        <v>#DIV/0!</v>
      </c>
      <c r="T82" s="65">
        <v>0</v>
      </c>
      <c r="U82" s="67"/>
    </row>
    <row r="83" spans="1:21" ht="14.45" x14ac:dyDescent="0.3">
      <c r="J83" s="47"/>
      <c r="O83" s="54" t="s">
        <v>282</v>
      </c>
      <c r="Q83" s="50">
        <f>AVERAGE(Q81:Q82)</f>
        <v>898.93487628579373</v>
      </c>
    </row>
    <row r="84" spans="1:21" ht="14.45" x14ac:dyDescent="0.3">
      <c r="A84" s="48" t="s">
        <v>279</v>
      </c>
    </row>
    <row r="85" spans="1:21" s="60" customFormat="1" ht="14.45" x14ac:dyDescent="0.3">
      <c r="A85" s="60" t="s">
        <v>153</v>
      </c>
      <c r="B85" s="60" t="s">
        <v>154</v>
      </c>
      <c r="C85" s="61">
        <v>45029</v>
      </c>
      <c r="D85" s="58">
        <v>295000</v>
      </c>
      <c r="E85" s="60" t="s">
        <v>23</v>
      </c>
      <c r="F85" s="60" t="s">
        <v>24</v>
      </c>
      <c r="G85" s="58">
        <v>295000</v>
      </c>
      <c r="H85" s="58">
        <v>143900</v>
      </c>
      <c r="I85" s="62">
        <f t="shared" ref="I85:I97" si="8">H85/G85*100</f>
        <v>48.779661016949156</v>
      </c>
      <c r="J85" s="58">
        <v>32522</v>
      </c>
      <c r="K85" s="58">
        <f>G85-0</f>
        <v>295000</v>
      </c>
      <c r="L85" s="58">
        <v>32522</v>
      </c>
      <c r="M85" s="63">
        <v>75</v>
      </c>
      <c r="N85" s="64">
        <v>0</v>
      </c>
      <c r="O85" s="65">
        <v>0.14000000000000001</v>
      </c>
      <c r="P85" s="65">
        <v>0.14000000000000001</v>
      </c>
      <c r="Q85" s="58">
        <f t="shared" ref="Q85:Q97" si="9">K85/M85</f>
        <v>3933.3333333333335</v>
      </c>
      <c r="R85" s="58">
        <f t="shared" ref="R85:R97" si="10">K85/O85</f>
        <v>2107142.8571428568</v>
      </c>
      <c r="S85" s="66">
        <f t="shared" ref="S85:S97" si="11">K85/O85/43560</f>
        <v>48.373343827889272</v>
      </c>
      <c r="T85" s="65">
        <v>0</v>
      </c>
      <c r="U85" s="67"/>
    </row>
    <row r="86" spans="1:21" s="60" customFormat="1" ht="14.45" x14ac:dyDescent="0.3">
      <c r="A86" s="60" t="s">
        <v>155</v>
      </c>
      <c r="B86" s="60" t="s">
        <v>156</v>
      </c>
      <c r="C86" s="61">
        <v>44669</v>
      </c>
      <c r="D86" s="58">
        <v>68000</v>
      </c>
      <c r="E86" s="60" t="s">
        <v>23</v>
      </c>
      <c r="F86" s="60" t="s">
        <v>24</v>
      </c>
      <c r="G86" s="58">
        <v>68000</v>
      </c>
      <c r="H86" s="58">
        <v>32400</v>
      </c>
      <c r="I86" s="62">
        <f t="shared" si="8"/>
        <v>47.647058823529406</v>
      </c>
      <c r="J86" s="58">
        <v>70796</v>
      </c>
      <c r="K86" s="58">
        <f>G86-50096</f>
        <v>17904</v>
      </c>
      <c r="L86" s="58">
        <v>20700</v>
      </c>
      <c r="M86" s="63">
        <v>23</v>
      </c>
      <c r="N86" s="64">
        <v>125</v>
      </c>
      <c r="O86" s="65">
        <v>6.6000000000000003E-2</v>
      </c>
      <c r="P86" s="65">
        <v>6.6000000000000003E-2</v>
      </c>
      <c r="Q86" s="58">
        <f t="shared" si="9"/>
        <v>778.43478260869563</v>
      </c>
      <c r="R86" s="58">
        <f t="shared" si="10"/>
        <v>271272.72727272724</v>
      </c>
      <c r="S86" s="66">
        <f t="shared" si="11"/>
        <v>6.2275649052508548</v>
      </c>
      <c r="T86" s="65">
        <v>23</v>
      </c>
      <c r="U86" s="67"/>
    </row>
    <row r="87" spans="1:21" s="60" customFormat="1" ht="14.45" x14ac:dyDescent="0.3">
      <c r="A87" s="60" t="s">
        <v>161</v>
      </c>
      <c r="B87" s="60" t="s">
        <v>162</v>
      </c>
      <c r="C87" s="61">
        <v>44831</v>
      </c>
      <c r="D87" s="58">
        <v>2200000</v>
      </c>
      <c r="E87" s="60" t="s">
        <v>23</v>
      </c>
      <c r="F87" s="60" t="s">
        <v>24</v>
      </c>
      <c r="G87" s="58">
        <v>2200000</v>
      </c>
      <c r="H87" s="58">
        <v>277600</v>
      </c>
      <c r="I87" s="62">
        <f t="shared" si="8"/>
        <v>12.618181818181817</v>
      </c>
      <c r="J87" s="58">
        <v>763449</v>
      </c>
      <c r="K87" s="58">
        <f>G87-623919</f>
        <v>1576081</v>
      </c>
      <c r="L87" s="58">
        <v>139530</v>
      </c>
      <c r="M87" s="70">
        <v>225</v>
      </c>
      <c r="N87" s="64">
        <v>0</v>
      </c>
      <c r="O87" s="65">
        <v>1.07</v>
      </c>
      <c r="P87" s="65">
        <v>1.07</v>
      </c>
      <c r="Q87" s="58">
        <f t="shared" si="9"/>
        <v>7004.804444444444</v>
      </c>
      <c r="R87" s="58">
        <f t="shared" si="10"/>
        <v>1472972.8971962617</v>
      </c>
      <c r="S87" s="66">
        <f t="shared" si="11"/>
        <v>33.814804802485348</v>
      </c>
      <c r="T87" s="65">
        <v>0</v>
      </c>
      <c r="U87" s="67"/>
    </row>
    <row r="88" spans="1:21" s="60" customFormat="1" ht="14.45" x14ac:dyDescent="0.3">
      <c r="A88" s="60" t="s">
        <v>163</v>
      </c>
      <c r="B88" s="60" t="s">
        <v>164</v>
      </c>
      <c r="C88" s="61">
        <v>44774</v>
      </c>
      <c r="D88" s="58">
        <v>2690000</v>
      </c>
      <c r="E88" s="60" t="s">
        <v>23</v>
      </c>
      <c r="F88" s="60" t="s">
        <v>24</v>
      </c>
      <c r="G88" s="58">
        <v>2690000</v>
      </c>
      <c r="H88" s="58">
        <v>983600</v>
      </c>
      <c r="I88" s="62">
        <f t="shared" si="8"/>
        <v>36.565055762081784</v>
      </c>
      <c r="J88" s="58">
        <v>2646474</v>
      </c>
      <c r="K88" s="58">
        <f>G88-2261274</f>
        <v>428726</v>
      </c>
      <c r="L88" s="58">
        <v>385200</v>
      </c>
      <c r="M88" s="63">
        <v>428</v>
      </c>
      <c r="N88" s="64">
        <v>221</v>
      </c>
      <c r="O88" s="65">
        <v>2.1709999999999998</v>
      </c>
      <c r="P88" s="65">
        <v>2.1709999999999998</v>
      </c>
      <c r="Q88" s="58">
        <f t="shared" si="9"/>
        <v>1001.6962616822429</v>
      </c>
      <c r="R88" s="58">
        <f t="shared" si="10"/>
        <v>197478.58129894061</v>
      </c>
      <c r="S88" s="66">
        <f t="shared" si="11"/>
        <v>4.5334844191675989</v>
      </c>
      <c r="T88" s="65">
        <v>428</v>
      </c>
      <c r="U88" s="67"/>
    </row>
    <row r="89" spans="1:21" s="60" customFormat="1" ht="14.45" x14ac:dyDescent="0.3">
      <c r="A89" s="60" t="s">
        <v>165</v>
      </c>
      <c r="B89" s="60" t="s">
        <v>166</v>
      </c>
      <c r="C89" s="61">
        <v>45244</v>
      </c>
      <c r="D89" s="58">
        <v>992785</v>
      </c>
      <c r="E89" s="60" t="s">
        <v>23</v>
      </c>
      <c r="F89" s="60" t="s">
        <v>24</v>
      </c>
      <c r="G89" s="58">
        <v>992785</v>
      </c>
      <c r="H89" s="58">
        <v>733300</v>
      </c>
      <c r="I89" s="62">
        <f t="shared" si="8"/>
        <v>73.862920974833429</v>
      </c>
      <c r="J89" s="58">
        <v>153600</v>
      </c>
      <c r="K89" s="58">
        <f>G89-0</f>
        <v>992785</v>
      </c>
      <c r="L89" s="58">
        <v>153600</v>
      </c>
      <c r="M89" s="63">
        <v>160</v>
      </c>
      <c r="N89" s="64">
        <v>0</v>
      </c>
      <c r="O89" s="65">
        <v>2.54</v>
      </c>
      <c r="P89" s="65">
        <v>0</v>
      </c>
      <c r="Q89" s="58">
        <f t="shared" si="9"/>
        <v>6204.90625</v>
      </c>
      <c r="R89" s="58">
        <f t="shared" si="10"/>
        <v>390860.23622047243</v>
      </c>
      <c r="S89" s="66">
        <f t="shared" si="11"/>
        <v>8.9729163503322411</v>
      </c>
      <c r="T89" s="65">
        <v>0</v>
      </c>
      <c r="U89" s="67"/>
    </row>
    <row r="90" spans="1:21" s="60" customFormat="1" ht="14.45" x14ac:dyDescent="0.3">
      <c r="A90" s="60" t="s">
        <v>169</v>
      </c>
      <c r="B90" s="60" t="s">
        <v>170</v>
      </c>
      <c r="C90" s="61">
        <v>44735</v>
      </c>
      <c r="D90" s="58">
        <v>780000</v>
      </c>
      <c r="E90" s="60" t="s">
        <v>23</v>
      </c>
      <c r="F90" s="60" t="s">
        <v>24</v>
      </c>
      <c r="G90" s="58">
        <v>780000</v>
      </c>
      <c r="H90" s="58">
        <v>173300</v>
      </c>
      <c r="I90" s="62">
        <f t="shared" si="8"/>
        <v>22.217948717948719</v>
      </c>
      <c r="J90" s="58">
        <v>545516</v>
      </c>
      <c r="K90" s="58">
        <f>G90-430016</f>
        <v>349984</v>
      </c>
      <c r="L90" s="58">
        <v>115500</v>
      </c>
      <c r="M90" s="63">
        <v>165</v>
      </c>
      <c r="N90" s="64">
        <v>248</v>
      </c>
      <c r="O90" s="65">
        <v>0.93899999999999995</v>
      </c>
      <c r="P90" s="65">
        <v>0.93899999999999995</v>
      </c>
      <c r="Q90" s="58">
        <f t="shared" si="9"/>
        <v>2121.1151515151514</v>
      </c>
      <c r="R90" s="58">
        <f t="shared" si="10"/>
        <v>372719.91480298189</v>
      </c>
      <c r="S90" s="66">
        <f t="shared" si="11"/>
        <v>8.5564718733466911</v>
      </c>
      <c r="T90" s="65">
        <v>165</v>
      </c>
      <c r="U90" s="67"/>
    </row>
    <row r="91" spans="1:21" s="60" customFormat="1" ht="26.25" customHeight="1" x14ac:dyDescent="0.3">
      <c r="A91" s="60" t="s">
        <v>171</v>
      </c>
      <c r="B91" s="60" t="s">
        <v>172</v>
      </c>
      <c r="C91" s="61">
        <v>45289</v>
      </c>
      <c r="D91" s="58">
        <v>750000</v>
      </c>
      <c r="E91" s="60" t="s">
        <v>23</v>
      </c>
      <c r="F91" s="60" t="s">
        <v>58</v>
      </c>
      <c r="G91" s="58">
        <v>750000</v>
      </c>
      <c r="H91" s="58">
        <v>466600</v>
      </c>
      <c r="I91" s="62">
        <f t="shared" si="8"/>
        <v>62.213333333333331</v>
      </c>
      <c r="J91" s="58">
        <v>962117</v>
      </c>
      <c r="K91" s="58">
        <f>G91-105367</f>
        <v>644633</v>
      </c>
      <c r="L91" s="58">
        <v>856750</v>
      </c>
      <c r="M91" s="63">
        <v>100</v>
      </c>
      <c r="N91" s="64">
        <v>220</v>
      </c>
      <c r="O91" s="65">
        <v>5.7549999999999999</v>
      </c>
      <c r="P91" s="65">
        <v>4.53</v>
      </c>
      <c r="Q91" s="58">
        <f t="shared" si="9"/>
        <v>6446.33</v>
      </c>
      <c r="R91" s="58">
        <f t="shared" si="10"/>
        <v>112012.68462206777</v>
      </c>
      <c r="S91" s="66">
        <f t="shared" si="11"/>
        <v>2.5714574063835576</v>
      </c>
      <c r="T91" s="65">
        <v>100</v>
      </c>
      <c r="U91" s="67" t="s">
        <v>173</v>
      </c>
    </row>
    <row r="92" spans="1:21" s="60" customFormat="1" ht="14.45" x14ac:dyDescent="0.3">
      <c r="A92" s="60" t="s">
        <v>174</v>
      </c>
      <c r="B92" s="60" t="s">
        <v>175</v>
      </c>
      <c r="C92" s="61">
        <v>44818</v>
      </c>
      <c r="D92" s="58">
        <v>325000</v>
      </c>
      <c r="E92" s="60" t="s">
        <v>23</v>
      </c>
      <c r="F92" s="60" t="s">
        <v>24</v>
      </c>
      <c r="G92" s="58">
        <v>325000</v>
      </c>
      <c r="H92" s="58">
        <v>318800</v>
      </c>
      <c r="I92" s="62">
        <f t="shared" si="8"/>
        <v>98.092307692307685</v>
      </c>
      <c r="J92" s="58">
        <v>270000</v>
      </c>
      <c r="K92" s="58">
        <f>G92-0</f>
        <v>325000</v>
      </c>
      <c r="L92" s="58">
        <v>270000</v>
      </c>
      <c r="M92" s="63">
        <v>300</v>
      </c>
      <c r="N92" s="64">
        <v>632</v>
      </c>
      <c r="O92" s="65">
        <v>4.3529999999999998</v>
      </c>
      <c r="P92" s="65">
        <v>4.3529999999999998</v>
      </c>
      <c r="Q92" s="58">
        <f t="shared" si="9"/>
        <v>1083.3333333333333</v>
      </c>
      <c r="R92" s="58">
        <f t="shared" si="10"/>
        <v>74661.153227659088</v>
      </c>
      <c r="S92" s="66">
        <f t="shared" si="11"/>
        <v>1.7139842338764713</v>
      </c>
      <c r="T92" s="65">
        <v>300</v>
      </c>
      <c r="U92" s="67"/>
    </row>
    <row r="93" spans="1:21" s="60" customFormat="1" ht="14.45" x14ac:dyDescent="0.3">
      <c r="A93" s="60" t="s">
        <v>176</v>
      </c>
      <c r="B93" s="60" t="s">
        <v>177</v>
      </c>
      <c r="C93" s="61">
        <v>44816</v>
      </c>
      <c r="D93" s="58">
        <v>1525000</v>
      </c>
      <c r="E93" s="60" t="s">
        <v>23</v>
      </c>
      <c r="F93" s="60" t="s">
        <v>24</v>
      </c>
      <c r="G93" s="58">
        <v>1525000</v>
      </c>
      <c r="H93" s="58">
        <v>855100</v>
      </c>
      <c r="I93" s="62">
        <f t="shared" si="8"/>
        <v>56.072131147540979</v>
      </c>
      <c r="J93" s="58">
        <v>1360156</v>
      </c>
      <c r="K93" s="58">
        <f>G93-1041297</f>
        <v>483703</v>
      </c>
      <c r="L93" s="58">
        <v>318859</v>
      </c>
      <c r="M93" s="63">
        <v>163</v>
      </c>
      <c r="N93" s="64">
        <v>846</v>
      </c>
      <c r="O93" s="65">
        <v>0</v>
      </c>
      <c r="P93" s="65">
        <v>0</v>
      </c>
      <c r="Q93" s="58">
        <f t="shared" si="9"/>
        <v>2967.5030674846626</v>
      </c>
      <c r="R93" s="58" t="e">
        <f t="shared" si="10"/>
        <v>#DIV/0!</v>
      </c>
      <c r="S93" s="66" t="e">
        <f t="shared" si="11"/>
        <v>#DIV/0!</v>
      </c>
      <c r="T93" s="65">
        <v>163</v>
      </c>
      <c r="U93" s="67"/>
    </row>
    <row r="94" spans="1:21" s="60" customFormat="1" ht="28.9" x14ac:dyDescent="0.3">
      <c r="A94" s="60" t="s">
        <v>180</v>
      </c>
      <c r="B94" s="60" t="s">
        <v>181</v>
      </c>
      <c r="C94" s="61">
        <v>44911</v>
      </c>
      <c r="D94" s="58">
        <v>150000</v>
      </c>
      <c r="E94" s="60" t="s">
        <v>23</v>
      </c>
      <c r="F94" s="60" t="s">
        <v>58</v>
      </c>
      <c r="G94" s="58">
        <v>150000</v>
      </c>
      <c r="H94" s="58">
        <v>163100</v>
      </c>
      <c r="I94" s="62">
        <f t="shared" si="8"/>
        <v>108.73333333333332</v>
      </c>
      <c r="J94" s="58">
        <v>226422</v>
      </c>
      <c r="K94" s="58">
        <f>G94-0</f>
        <v>150000</v>
      </c>
      <c r="L94" s="58">
        <v>226422</v>
      </c>
      <c r="M94" s="63">
        <v>377.37</v>
      </c>
      <c r="N94" s="64">
        <v>442.5</v>
      </c>
      <c r="O94" s="65">
        <v>1.873</v>
      </c>
      <c r="P94" s="65">
        <v>0.73799999999999999</v>
      </c>
      <c r="Q94" s="58">
        <f t="shared" si="9"/>
        <v>397.48787661976309</v>
      </c>
      <c r="R94" s="58">
        <f t="shared" si="10"/>
        <v>80085.424452749605</v>
      </c>
      <c r="S94" s="66">
        <f t="shared" si="11"/>
        <v>1.8385083666838753</v>
      </c>
      <c r="T94" s="65">
        <v>377.37</v>
      </c>
      <c r="U94" s="67" t="s">
        <v>182</v>
      </c>
    </row>
    <row r="95" spans="1:21" s="60" customFormat="1" ht="14.45" x14ac:dyDescent="0.3">
      <c r="A95" s="60" t="s">
        <v>183</v>
      </c>
      <c r="B95" s="60" t="s">
        <v>184</v>
      </c>
      <c r="C95" s="61">
        <v>45420</v>
      </c>
      <c r="D95" s="58">
        <v>550000</v>
      </c>
      <c r="E95" s="60" t="s">
        <v>23</v>
      </c>
      <c r="F95" s="60" t="s">
        <v>24</v>
      </c>
      <c r="G95" s="58">
        <v>550000</v>
      </c>
      <c r="H95" s="58">
        <v>87600</v>
      </c>
      <c r="I95" s="62">
        <f t="shared" si="8"/>
        <v>15.927272727272726</v>
      </c>
      <c r="J95" s="58">
        <v>0</v>
      </c>
      <c r="K95" s="58">
        <f>G95-0</f>
        <v>550000</v>
      </c>
      <c r="L95" s="58">
        <v>0</v>
      </c>
      <c r="M95" s="63">
        <v>120</v>
      </c>
      <c r="N95" s="64">
        <v>0</v>
      </c>
      <c r="O95" s="65">
        <v>0.36</v>
      </c>
      <c r="P95" s="65">
        <v>0.36</v>
      </c>
      <c r="Q95" s="58">
        <f t="shared" si="9"/>
        <v>4583.333333333333</v>
      </c>
      <c r="R95" s="58">
        <f t="shared" si="10"/>
        <v>1527777.7777777778</v>
      </c>
      <c r="S95" s="66">
        <f t="shared" si="11"/>
        <v>35.072951739618404</v>
      </c>
      <c r="T95" s="65">
        <v>0</v>
      </c>
      <c r="U95" s="67"/>
    </row>
    <row r="96" spans="1:21" s="60" customFormat="1" ht="14.45" x14ac:dyDescent="0.3">
      <c r="A96" s="60" t="s">
        <v>187</v>
      </c>
      <c r="B96" s="60" t="s">
        <v>188</v>
      </c>
      <c r="C96" s="61">
        <v>45331</v>
      </c>
      <c r="D96" s="58">
        <v>725000</v>
      </c>
      <c r="E96" s="60" t="s">
        <v>23</v>
      </c>
      <c r="F96" s="60" t="s">
        <v>24</v>
      </c>
      <c r="G96" s="58">
        <v>725000</v>
      </c>
      <c r="H96" s="58">
        <v>118100</v>
      </c>
      <c r="I96" s="62">
        <f t="shared" si="8"/>
        <v>16.289655172413795</v>
      </c>
      <c r="J96" s="58">
        <v>161700</v>
      </c>
      <c r="K96" s="58">
        <f>G96-0</f>
        <v>725000</v>
      </c>
      <c r="L96" s="58">
        <v>161700</v>
      </c>
      <c r="M96" s="63">
        <v>157</v>
      </c>
      <c r="N96" s="64">
        <v>0</v>
      </c>
      <c r="O96" s="65">
        <v>0.42</v>
      </c>
      <c r="P96" s="65">
        <v>0.74</v>
      </c>
      <c r="Q96" s="58">
        <f t="shared" si="9"/>
        <v>4617.8343949044583</v>
      </c>
      <c r="R96" s="58">
        <f t="shared" si="10"/>
        <v>1726190.4761904762</v>
      </c>
      <c r="S96" s="66">
        <f t="shared" si="11"/>
        <v>39.627880536971446</v>
      </c>
      <c r="T96" s="65">
        <v>0</v>
      </c>
      <c r="U96" s="67"/>
    </row>
    <row r="97" spans="1:21" s="60" customFormat="1" ht="14.45" x14ac:dyDescent="0.3">
      <c r="A97" s="60" t="s">
        <v>189</v>
      </c>
      <c r="B97" s="60" t="s">
        <v>190</v>
      </c>
      <c r="C97" s="61">
        <v>45114</v>
      </c>
      <c r="D97" s="58">
        <v>1210000</v>
      </c>
      <c r="E97" s="60" t="s">
        <v>23</v>
      </c>
      <c r="F97" s="60" t="s">
        <v>24</v>
      </c>
      <c r="G97" s="58">
        <v>1210000</v>
      </c>
      <c r="H97" s="58">
        <v>219700</v>
      </c>
      <c r="I97" s="62">
        <f t="shared" si="8"/>
        <v>18.15702479338843</v>
      </c>
      <c r="J97" s="58">
        <v>261459</v>
      </c>
      <c r="K97" s="58">
        <f>G97-0</f>
        <v>1210000</v>
      </c>
      <c r="L97" s="58">
        <v>261459</v>
      </c>
      <c r="M97" s="63">
        <v>333</v>
      </c>
      <c r="N97" s="64">
        <v>0</v>
      </c>
      <c r="O97" s="65">
        <v>0.64</v>
      </c>
      <c r="P97" s="65">
        <v>0.64</v>
      </c>
      <c r="Q97" s="58">
        <f t="shared" si="9"/>
        <v>3633.6336336336335</v>
      </c>
      <c r="R97" s="58">
        <f t="shared" si="10"/>
        <v>1890625</v>
      </c>
      <c r="S97" s="66">
        <f t="shared" si="11"/>
        <v>43.402777777777779</v>
      </c>
      <c r="T97" s="65">
        <v>0</v>
      </c>
      <c r="U97" s="67"/>
    </row>
    <row r="98" spans="1:21" ht="14.45" x14ac:dyDescent="0.3">
      <c r="O98" s="54" t="s">
        <v>282</v>
      </c>
      <c r="Q98" s="50">
        <f>AVERAGE(Q85:Q97)</f>
        <v>3444.1342971456188</v>
      </c>
    </row>
    <row r="99" spans="1:21" ht="14.45" x14ac:dyDescent="0.3">
      <c r="A99" s="48" t="s">
        <v>280</v>
      </c>
    </row>
    <row r="100" spans="1:21" s="60" customFormat="1" ht="14.45" x14ac:dyDescent="0.3">
      <c r="A100" s="60" t="s">
        <v>194</v>
      </c>
      <c r="B100" s="60" t="s">
        <v>195</v>
      </c>
      <c r="C100" s="61">
        <v>44972</v>
      </c>
      <c r="D100" s="58">
        <v>500000</v>
      </c>
      <c r="E100" s="60" t="s">
        <v>37</v>
      </c>
      <c r="F100" s="60" t="s">
        <v>24</v>
      </c>
      <c r="G100" s="58">
        <v>500000</v>
      </c>
      <c r="H100" s="58">
        <v>138900</v>
      </c>
      <c r="I100" s="62">
        <f t="shared" ref="I100:I123" si="12">H100/G100*100</f>
        <v>27.779999999999998</v>
      </c>
      <c r="J100" s="58">
        <v>480900</v>
      </c>
      <c r="K100" s="58">
        <f>G100-423150</f>
        <v>76850</v>
      </c>
      <c r="L100" s="58">
        <v>57750</v>
      </c>
      <c r="M100" s="63">
        <v>55</v>
      </c>
      <c r="N100" s="64">
        <v>123.5</v>
      </c>
      <c r="O100" s="65">
        <v>0.156</v>
      </c>
      <c r="P100" s="65">
        <v>0.156</v>
      </c>
      <c r="Q100" s="58">
        <f t="shared" ref="Q100:Q123" si="13">K100/M100</f>
        <v>1397.2727272727273</v>
      </c>
      <c r="R100" s="58">
        <f t="shared" ref="R100:R123" si="14">K100/O100</f>
        <v>492628.20512820513</v>
      </c>
      <c r="S100" s="66">
        <f t="shared" ref="S100:S123" si="15">K100/O100/43560</f>
        <v>11.309187445551082</v>
      </c>
      <c r="T100" s="65">
        <v>55</v>
      </c>
      <c r="U100" s="67"/>
    </row>
    <row r="101" spans="1:21" s="60" customFormat="1" ht="14.45" x14ac:dyDescent="0.3">
      <c r="A101" s="60" t="s">
        <v>196</v>
      </c>
      <c r="B101" s="60" t="s">
        <v>197</v>
      </c>
      <c r="C101" s="61">
        <v>45366</v>
      </c>
      <c r="D101" s="58">
        <v>150000</v>
      </c>
      <c r="E101" s="60" t="s">
        <v>23</v>
      </c>
      <c r="F101" s="60" t="s">
        <v>24</v>
      </c>
      <c r="G101" s="58">
        <v>150000</v>
      </c>
      <c r="H101" s="58">
        <v>31500</v>
      </c>
      <c r="I101" s="62">
        <f t="shared" si="12"/>
        <v>21</v>
      </c>
      <c r="J101" s="58">
        <v>0</v>
      </c>
      <c r="K101" s="58">
        <f>G101-0</f>
        <v>150000</v>
      </c>
      <c r="L101" s="58">
        <v>0</v>
      </c>
      <c r="M101" s="63">
        <v>19</v>
      </c>
      <c r="N101" s="64">
        <v>120</v>
      </c>
      <c r="O101" s="65">
        <v>0.05</v>
      </c>
      <c r="P101" s="65">
        <v>0.05</v>
      </c>
      <c r="Q101" s="58">
        <f t="shared" si="13"/>
        <v>7894.7368421052633</v>
      </c>
      <c r="R101" s="58">
        <f t="shared" si="14"/>
        <v>3000000</v>
      </c>
      <c r="S101" s="66">
        <f t="shared" si="15"/>
        <v>68.870523415977956</v>
      </c>
      <c r="T101" s="65">
        <v>0</v>
      </c>
      <c r="U101" s="67"/>
    </row>
    <row r="102" spans="1:21" s="60" customFormat="1" ht="14.45" x14ac:dyDescent="0.3">
      <c r="A102" s="60" t="s">
        <v>198</v>
      </c>
      <c r="B102" s="60" t="s">
        <v>199</v>
      </c>
      <c r="C102" s="61">
        <v>44862</v>
      </c>
      <c r="D102" s="58">
        <v>85000</v>
      </c>
      <c r="E102" s="60" t="s">
        <v>23</v>
      </c>
      <c r="F102" s="60" t="s">
        <v>24</v>
      </c>
      <c r="G102" s="58">
        <v>85000</v>
      </c>
      <c r="H102" s="58">
        <v>28100</v>
      </c>
      <c r="I102" s="62">
        <f t="shared" si="12"/>
        <v>33.058823529411761</v>
      </c>
      <c r="J102" s="58">
        <v>95468</v>
      </c>
      <c r="K102" s="58">
        <f>G102-27218</f>
        <v>57782</v>
      </c>
      <c r="L102" s="58">
        <v>68250</v>
      </c>
      <c r="M102" s="63">
        <v>65</v>
      </c>
      <c r="N102" s="64">
        <v>90</v>
      </c>
      <c r="O102" s="65">
        <v>0.13400000000000001</v>
      </c>
      <c r="P102" s="65">
        <v>0.13400000000000001</v>
      </c>
      <c r="Q102" s="58">
        <f t="shared" si="13"/>
        <v>888.95384615384614</v>
      </c>
      <c r="R102" s="58">
        <f t="shared" si="14"/>
        <v>431208.95522388059</v>
      </c>
      <c r="S102" s="66">
        <f t="shared" si="15"/>
        <v>9.8991954826418862</v>
      </c>
      <c r="T102" s="65">
        <v>65</v>
      </c>
      <c r="U102" s="67"/>
    </row>
    <row r="103" spans="1:21" s="60" customFormat="1" ht="14.45" x14ac:dyDescent="0.3">
      <c r="A103" s="60" t="s">
        <v>202</v>
      </c>
      <c r="B103" s="60" t="s">
        <v>203</v>
      </c>
      <c r="C103" s="61">
        <v>45030</v>
      </c>
      <c r="D103" s="58">
        <v>410000</v>
      </c>
      <c r="E103" s="60" t="s">
        <v>23</v>
      </c>
      <c r="F103" s="60" t="s">
        <v>24</v>
      </c>
      <c r="G103" s="58">
        <v>410000</v>
      </c>
      <c r="H103" s="58">
        <v>130000</v>
      </c>
      <c r="I103" s="62">
        <f t="shared" si="12"/>
        <v>31.707317073170731</v>
      </c>
      <c r="J103" s="58">
        <v>296255</v>
      </c>
      <c r="K103" s="58">
        <f>G103-170255</f>
        <v>239745</v>
      </c>
      <c r="L103" s="58">
        <v>126000</v>
      </c>
      <c r="M103" s="63">
        <v>120</v>
      </c>
      <c r="N103" s="64">
        <v>60</v>
      </c>
      <c r="O103" s="65">
        <v>0.16500000000000001</v>
      </c>
      <c r="P103" s="65">
        <v>0.16500000000000001</v>
      </c>
      <c r="Q103" s="58">
        <f t="shared" si="13"/>
        <v>1997.875</v>
      </c>
      <c r="R103" s="58">
        <f t="shared" si="14"/>
        <v>1453000</v>
      </c>
      <c r="S103" s="66">
        <f t="shared" si="15"/>
        <v>33.356290174471994</v>
      </c>
      <c r="T103" s="65">
        <v>120</v>
      </c>
      <c r="U103" s="67"/>
    </row>
    <row r="104" spans="1:21" s="60" customFormat="1" ht="14.45" x14ac:dyDescent="0.3">
      <c r="A104" s="60" t="s">
        <v>204</v>
      </c>
      <c r="B104" s="60" t="s">
        <v>205</v>
      </c>
      <c r="C104" s="61">
        <v>44854</v>
      </c>
      <c r="D104" s="58">
        <v>1075000</v>
      </c>
      <c r="E104" s="60" t="s">
        <v>37</v>
      </c>
      <c r="F104" s="60" t="s">
        <v>24</v>
      </c>
      <c r="G104" s="58">
        <v>1075000</v>
      </c>
      <c r="H104" s="58">
        <v>138300</v>
      </c>
      <c r="I104" s="62">
        <f t="shared" si="12"/>
        <v>12.865116279069769</v>
      </c>
      <c r="J104" s="58">
        <v>1011796</v>
      </c>
      <c r="K104" s="58">
        <f>G104-774496</f>
        <v>300504</v>
      </c>
      <c r="L104" s="58">
        <v>237300</v>
      </c>
      <c r="M104" s="63">
        <v>226</v>
      </c>
      <c r="N104" s="64">
        <v>123</v>
      </c>
      <c r="O104" s="65">
        <v>0.63800000000000001</v>
      </c>
      <c r="P104" s="65">
        <v>0.63800000000000001</v>
      </c>
      <c r="Q104" s="58">
        <f t="shared" si="13"/>
        <v>1329.6637168141592</v>
      </c>
      <c r="R104" s="58">
        <f t="shared" si="14"/>
        <v>471009.4043887147</v>
      </c>
      <c r="S104" s="66">
        <f t="shared" si="15"/>
        <v>10.81288807136627</v>
      </c>
      <c r="T104" s="65">
        <v>226</v>
      </c>
      <c r="U104" s="67"/>
    </row>
    <row r="105" spans="1:21" s="60" customFormat="1" ht="14.45" x14ac:dyDescent="0.3">
      <c r="A105" s="60" t="s">
        <v>206</v>
      </c>
      <c r="B105" s="60" t="s">
        <v>207</v>
      </c>
      <c r="C105" s="61">
        <v>44768</v>
      </c>
      <c r="D105" s="58">
        <v>65000</v>
      </c>
      <c r="E105" s="60" t="s">
        <v>23</v>
      </c>
      <c r="F105" s="60" t="s">
        <v>24</v>
      </c>
      <c r="G105" s="58">
        <v>65000</v>
      </c>
      <c r="H105" s="58">
        <v>29800</v>
      </c>
      <c r="I105" s="62">
        <f t="shared" si="12"/>
        <v>45.846153846153847</v>
      </c>
      <c r="J105" s="58">
        <v>85089</v>
      </c>
      <c r="K105" s="58">
        <f>G105-57789</f>
        <v>7211</v>
      </c>
      <c r="L105" s="58">
        <v>27300</v>
      </c>
      <c r="M105" s="63">
        <v>26</v>
      </c>
      <c r="N105" s="64">
        <v>62</v>
      </c>
      <c r="O105" s="65">
        <v>3.6999999999999998E-2</v>
      </c>
      <c r="P105" s="65">
        <v>3.6999999999999998E-2</v>
      </c>
      <c r="Q105" s="58">
        <f t="shared" si="13"/>
        <v>277.34615384615387</v>
      </c>
      <c r="R105" s="58">
        <f t="shared" si="14"/>
        <v>194891.89189189189</v>
      </c>
      <c r="S105" s="66">
        <f t="shared" si="15"/>
        <v>4.4741022013749285</v>
      </c>
      <c r="T105" s="65">
        <v>26</v>
      </c>
      <c r="U105" s="67"/>
    </row>
    <row r="106" spans="1:21" s="60" customFormat="1" ht="14.45" x14ac:dyDescent="0.3">
      <c r="A106" s="60" t="s">
        <v>211</v>
      </c>
      <c r="B106" s="60" t="s">
        <v>212</v>
      </c>
      <c r="C106" s="61">
        <v>45226</v>
      </c>
      <c r="D106" s="58">
        <v>2775000</v>
      </c>
      <c r="E106" s="60" t="s">
        <v>23</v>
      </c>
      <c r="F106" s="60" t="s">
        <v>24</v>
      </c>
      <c r="G106" s="58">
        <v>2775000</v>
      </c>
      <c r="H106" s="58">
        <v>933900</v>
      </c>
      <c r="I106" s="62">
        <f t="shared" si="12"/>
        <v>33.654054054054058</v>
      </c>
      <c r="J106" s="58">
        <v>2357834</v>
      </c>
      <c r="K106" s="58">
        <f>G106-2042834</f>
        <v>732166</v>
      </c>
      <c r="L106" s="58">
        <v>315000</v>
      </c>
      <c r="M106" s="63">
        <v>300</v>
      </c>
      <c r="N106" s="64">
        <v>954</v>
      </c>
      <c r="O106" s="65">
        <v>6.92</v>
      </c>
      <c r="P106" s="65">
        <v>6.92</v>
      </c>
      <c r="Q106" s="58">
        <f t="shared" si="13"/>
        <v>2440.5533333333333</v>
      </c>
      <c r="R106" s="58">
        <f t="shared" si="14"/>
        <v>105804.33526011561</v>
      </c>
      <c r="S106" s="66">
        <f t="shared" si="15"/>
        <v>2.428933316347925</v>
      </c>
      <c r="T106" s="65">
        <v>300</v>
      </c>
      <c r="U106" s="67"/>
    </row>
    <row r="107" spans="1:21" s="60" customFormat="1" ht="14.45" x14ac:dyDescent="0.3">
      <c r="A107" s="60" t="s">
        <v>213</v>
      </c>
      <c r="B107" s="60" t="s">
        <v>214</v>
      </c>
      <c r="C107" s="61">
        <v>45261</v>
      </c>
      <c r="D107" s="58">
        <v>400000</v>
      </c>
      <c r="E107" s="60" t="s">
        <v>23</v>
      </c>
      <c r="F107" s="60" t="s">
        <v>24</v>
      </c>
      <c r="G107" s="58">
        <v>400000</v>
      </c>
      <c r="H107" s="58">
        <v>198300</v>
      </c>
      <c r="I107" s="62">
        <f t="shared" si="12"/>
        <v>49.575000000000003</v>
      </c>
      <c r="J107" s="58">
        <v>57791</v>
      </c>
      <c r="K107" s="58">
        <f>G107-0</f>
        <v>400000</v>
      </c>
      <c r="L107" s="58">
        <v>57791</v>
      </c>
      <c r="M107" s="63">
        <v>70</v>
      </c>
      <c r="N107" s="64">
        <v>213</v>
      </c>
      <c r="O107" s="65">
        <v>0.34</v>
      </c>
      <c r="P107" s="65">
        <v>0.34</v>
      </c>
      <c r="Q107" s="58">
        <f t="shared" si="13"/>
        <v>5714.2857142857147</v>
      </c>
      <c r="R107" s="58">
        <f t="shared" si="14"/>
        <v>1176470.588235294</v>
      </c>
      <c r="S107" s="66">
        <f t="shared" si="15"/>
        <v>27.008048398422726</v>
      </c>
      <c r="T107" s="65">
        <v>0</v>
      </c>
      <c r="U107" s="67"/>
    </row>
    <row r="108" spans="1:21" s="60" customFormat="1" ht="14.45" x14ac:dyDescent="0.3">
      <c r="A108" s="60" t="s">
        <v>215</v>
      </c>
      <c r="B108" s="60" t="s">
        <v>216</v>
      </c>
      <c r="C108" s="61">
        <v>44931</v>
      </c>
      <c r="D108" s="58">
        <v>9900</v>
      </c>
      <c r="E108" s="60" t="s">
        <v>23</v>
      </c>
      <c r="F108" s="60" t="s">
        <v>24</v>
      </c>
      <c r="G108" s="58">
        <v>9900</v>
      </c>
      <c r="H108" s="58">
        <v>9500</v>
      </c>
      <c r="I108" s="62">
        <f t="shared" si="12"/>
        <v>95.959595959595958</v>
      </c>
      <c r="J108" s="58">
        <v>18585</v>
      </c>
      <c r="K108" s="58">
        <f>G108-0</f>
        <v>9900</v>
      </c>
      <c r="L108" s="58">
        <v>18585</v>
      </c>
      <c r="M108" s="63">
        <v>177</v>
      </c>
      <c r="N108" s="64">
        <v>102.5</v>
      </c>
      <c r="O108" s="65">
        <v>0.41599999999999998</v>
      </c>
      <c r="P108" s="65">
        <v>0.41599999999999998</v>
      </c>
      <c r="Q108" s="58">
        <f t="shared" si="13"/>
        <v>55.932203389830505</v>
      </c>
      <c r="R108" s="58">
        <f t="shared" si="14"/>
        <v>23798.076923076926</v>
      </c>
      <c r="S108" s="66">
        <f t="shared" si="15"/>
        <v>0.54632867132867136</v>
      </c>
      <c r="T108" s="65">
        <v>0</v>
      </c>
      <c r="U108" s="67"/>
    </row>
    <row r="109" spans="1:21" s="60" customFormat="1" ht="28.9" x14ac:dyDescent="0.3">
      <c r="A109" s="60" t="s">
        <v>217</v>
      </c>
      <c r="B109" s="60" t="s">
        <v>218</v>
      </c>
      <c r="C109" s="61">
        <v>44665</v>
      </c>
      <c r="D109" s="58">
        <v>559000</v>
      </c>
      <c r="E109" s="60" t="s">
        <v>23</v>
      </c>
      <c r="F109" s="60" t="s">
        <v>58</v>
      </c>
      <c r="G109" s="58">
        <v>559000</v>
      </c>
      <c r="H109" s="58">
        <v>160800</v>
      </c>
      <c r="I109" s="62">
        <f t="shared" si="12"/>
        <v>28.765652951699462</v>
      </c>
      <c r="J109" s="58">
        <v>456695</v>
      </c>
      <c r="K109" s="58">
        <f>G109-216695</f>
        <v>342305</v>
      </c>
      <c r="L109" s="58">
        <v>240000</v>
      </c>
      <c r="M109" s="63">
        <v>150</v>
      </c>
      <c r="N109" s="64">
        <v>300</v>
      </c>
      <c r="O109" s="65">
        <v>1.0329999999999999</v>
      </c>
      <c r="P109" s="65">
        <v>1.0329999999999999</v>
      </c>
      <c r="Q109" s="58">
        <f t="shared" si="13"/>
        <v>2282.0333333333333</v>
      </c>
      <c r="R109" s="58">
        <f t="shared" si="14"/>
        <v>331369.79670861573</v>
      </c>
      <c r="S109" s="66">
        <f t="shared" si="15"/>
        <v>7.6072037811895257</v>
      </c>
      <c r="T109" s="65">
        <v>150</v>
      </c>
      <c r="U109" s="67" t="s">
        <v>219</v>
      </c>
    </row>
    <row r="110" spans="1:21" s="60" customFormat="1" ht="14.45" x14ac:dyDescent="0.3">
      <c r="A110" s="60" t="s">
        <v>220</v>
      </c>
      <c r="B110" s="60" t="s">
        <v>221</v>
      </c>
      <c r="C110" s="61">
        <v>45084</v>
      </c>
      <c r="D110" s="58">
        <v>599000</v>
      </c>
      <c r="E110" s="60" t="s">
        <v>23</v>
      </c>
      <c r="F110" s="60" t="s">
        <v>24</v>
      </c>
      <c r="G110" s="58">
        <v>599000</v>
      </c>
      <c r="H110" s="58">
        <v>211300</v>
      </c>
      <c r="I110" s="62">
        <f t="shared" si="12"/>
        <v>35.2754590984975</v>
      </c>
      <c r="J110" s="58">
        <v>0</v>
      </c>
      <c r="K110" s="58">
        <f>G110-0</f>
        <v>599000</v>
      </c>
      <c r="L110" s="58">
        <v>0</v>
      </c>
      <c r="M110" s="63">
        <v>150</v>
      </c>
      <c r="N110" s="64">
        <v>600</v>
      </c>
      <c r="O110" s="65">
        <v>0</v>
      </c>
      <c r="P110" s="65">
        <v>0</v>
      </c>
      <c r="Q110" s="58">
        <f t="shared" si="13"/>
        <v>3993.3333333333335</v>
      </c>
      <c r="R110" s="58" t="e">
        <f t="shared" si="14"/>
        <v>#DIV/0!</v>
      </c>
      <c r="S110" s="66" t="e">
        <f t="shared" si="15"/>
        <v>#DIV/0!</v>
      </c>
      <c r="T110" s="65">
        <v>0</v>
      </c>
      <c r="U110" s="67"/>
    </row>
    <row r="111" spans="1:21" s="60" customFormat="1" ht="14.45" x14ac:dyDescent="0.3">
      <c r="A111" s="60" t="s">
        <v>222</v>
      </c>
      <c r="B111" s="60" t="s">
        <v>223</v>
      </c>
      <c r="C111" s="61">
        <v>45043</v>
      </c>
      <c r="D111" s="58">
        <v>203500</v>
      </c>
      <c r="E111" s="60" t="s">
        <v>23</v>
      </c>
      <c r="F111" s="60" t="s">
        <v>24</v>
      </c>
      <c r="G111" s="58">
        <v>203500</v>
      </c>
      <c r="H111" s="58">
        <v>65600</v>
      </c>
      <c r="I111" s="62">
        <f t="shared" si="12"/>
        <v>32.235872235872236</v>
      </c>
      <c r="J111" s="58">
        <v>72505</v>
      </c>
      <c r="K111" s="58">
        <f>G111-0</f>
        <v>203500</v>
      </c>
      <c r="L111" s="58">
        <v>72505</v>
      </c>
      <c r="M111" s="63">
        <v>74</v>
      </c>
      <c r="N111" s="64">
        <v>300</v>
      </c>
      <c r="O111" s="65">
        <v>0</v>
      </c>
      <c r="P111" s="65">
        <v>0</v>
      </c>
      <c r="Q111" s="58">
        <f t="shared" si="13"/>
        <v>2750</v>
      </c>
      <c r="R111" s="58" t="e">
        <f t="shared" si="14"/>
        <v>#DIV/0!</v>
      </c>
      <c r="S111" s="66" t="e">
        <f t="shared" si="15"/>
        <v>#DIV/0!</v>
      </c>
      <c r="T111" s="65">
        <v>0</v>
      </c>
      <c r="U111" s="67"/>
    </row>
    <row r="112" spans="1:21" s="60" customFormat="1" ht="14.45" x14ac:dyDescent="0.3">
      <c r="A112" s="60" t="s">
        <v>224</v>
      </c>
      <c r="B112" s="60" t="s">
        <v>225</v>
      </c>
      <c r="C112" s="61">
        <v>44705</v>
      </c>
      <c r="D112" s="58">
        <v>215000</v>
      </c>
      <c r="E112" s="60" t="s">
        <v>23</v>
      </c>
      <c r="F112" s="60" t="s">
        <v>24</v>
      </c>
      <c r="G112" s="58">
        <v>215000</v>
      </c>
      <c r="H112" s="58">
        <v>85500</v>
      </c>
      <c r="I112" s="62">
        <f t="shared" si="12"/>
        <v>39.767441860465112</v>
      </c>
      <c r="J112" s="58">
        <v>214709</v>
      </c>
      <c r="K112" s="58">
        <f>G112-109709</f>
        <v>105291</v>
      </c>
      <c r="L112" s="58">
        <v>105000</v>
      </c>
      <c r="M112" s="63">
        <v>100</v>
      </c>
      <c r="N112" s="64">
        <v>166</v>
      </c>
      <c r="O112" s="65">
        <v>0.38100000000000001</v>
      </c>
      <c r="P112" s="65">
        <v>0.38100000000000001</v>
      </c>
      <c r="Q112" s="58">
        <f t="shared" si="13"/>
        <v>1052.9100000000001</v>
      </c>
      <c r="R112" s="58">
        <f t="shared" si="14"/>
        <v>276354.33070866141</v>
      </c>
      <c r="S112" s="66">
        <f t="shared" si="15"/>
        <v>6.3442224680592609</v>
      </c>
      <c r="T112" s="65">
        <v>100</v>
      </c>
      <c r="U112" s="67"/>
    </row>
    <row r="113" spans="1:21" s="60" customFormat="1" ht="14.45" x14ac:dyDescent="0.3">
      <c r="A113" s="60" t="s">
        <v>226</v>
      </c>
      <c r="B113" s="60" t="s">
        <v>227</v>
      </c>
      <c r="C113" s="61">
        <v>45127</v>
      </c>
      <c r="D113" s="58">
        <v>169000</v>
      </c>
      <c r="E113" s="60" t="s">
        <v>23</v>
      </c>
      <c r="F113" s="60" t="s">
        <v>24</v>
      </c>
      <c r="G113" s="58">
        <v>169000</v>
      </c>
      <c r="H113" s="58">
        <v>31000</v>
      </c>
      <c r="I113" s="62">
        <f t="shared" si="12"/>
        <v>18.34319526627219</v>
      </c>
      <c r="J113" s="58">
        <v>159322</v>
      </c>
      <c r="K113" s="58">
        <f>G113-114549</f>
        <v>54451</v>
      </c>
      <c r="L113" s="58">
        <v>44773</v>
      </c>
      <c r="M113" s="63">
        <v>60</v>
      </c>
      <c r="N113" s="64">
        <v>148.5</v>
      </c>
      <c r="O113" s="65">
        <v>0.2</v>
      </c>
      <c r="P113" s="65">
        <v>0.41</v>
      </c>
      <c r="Q113" s="58">
        <f t="shared" si="13"/>
        <v>907.51666666666665</v>
      </c>
      <c r="R113" s="58">
        <f t="shared" si="14"/>
        <v>272255</v>
      </c>
      <c r="S113" s="66">
        <f t="shared" si="15"/>
        <v>6.2501147842056932</v>
      </c>
      <c r="T113" s="65">
        <v>0</v>
      </c>
      <c r="U113" s="67"/>
    </row>
    <row r="114" spans="1:21" s="60" customFormat="1" ht="28.9" x14ac:dyDescent="0.3">
      <c r="A114" s="60" t="s">
        <v>228</v>
      </c>
      <c r="B114" s="60" t="s">
        <v>229</v>
      </c>
      <c r="C114" s="61">
        <v>44714</v>
      </c>
      <c r="D114" s="58">
        <v>450000</v>
      </c>
      <c r="E114" s="60" t="s">
        <v>23</v>
      </c>
      <c r="F114" s="60" t="s">
        <v>58</v>
      </c>
      <c r="G114" s="58">
        <v>450000</v>
      </c>
      <c r="H114" s="58">
        <v>115800</v>
      </c>
      <c r="I114" s="62">
        <f t="shared" si="12"/>
        <v>25.733333333333334</v>
      </c>
      <c r="J114" s="58">
        <v>257084</v>
      </c>
      <c r="K114" s="58">
        <f>G114-0</f>
        <v>450000</v>
      </c>
      <c r="L114" s="58">
        <v>257084</v>
      </c>
      <c r="M114" s="63">
        <v>325.5</v>
      </c>
      <c r="N114" s="64">
        <v>460.90119900000002</v>
      </c>
      <c r="O114" s="65">
        <v>1.7310000000000001</v>
      </c>
      <c r="P114" s="65">
        <v>0.70399999999999996</v>
      </c>
      <c r="Q114" s="58">
        <f t="shared" si="13"/>
        <v>1382.4884792626729</v>
      </c>
      <c r="R114" s="58">
        <f t="shared" si="14"/>
        <v>259965.33795493931</v>
      </c>
      <c r="S114" s="66">
        <f t="shared" si="15"/>
        <v>5.9679829649894245</v>
      </c>
      <c r="T114" s="65">
        <v>180</v>
      </c>
      <c r="U114" s="67" t="s">
        <v>230</v>
      </c>
    </row>
    <row r="115" spans="1:21" s="60" customFormat="1" ht="28.9" x14ac:dyDescent="0.3">
      <c r="A115" s="60" t="s">
        <v>231</v>
      </c>
      <c r="B115" s="60" t="s">
        <v>232</v>
      </c>
      <c r="C115" s="61">
        <v>44743</v>
      </c>
      <c r="D115" s="58">
        <v>365000</v>
      </c>
      <c r="E115" s="60" t="s">
        <v>23</v>
      </c>
      <c r="F115" s="60" t="s">
        <v>58</v>
      </c>
      <c r="G115" s="58">
        <v>365000</v>
      </c>
      <c r="H115" s="58">
        <v>166800</v>
      </c>
      <c r="I115" s="62">
        <f t="shared" si="12"/>
        <v>45.698630136986303</v>
      </c>
      <c r="J115" s="58">
        <v>375502</v>
      </c>
      <c r="K115" s="58">
        <f>G115-181502</f>
        <v>183498</v>
      </c>
      <c r="L115" s="58">
        <v>194000</v>
      </c>
      <c r="M115" s="63">
        <v>214</v>
      </c>
      <c r="N115" s="64">
        <v>222</v>
      </c>
      <c r="O115" s="65">
        <v>0.502</v>
      </c>
      <c r="P115" s="65">
        <v>0.26400000000000001</v>
      </c>
      <c r="Q115" s="58">
        <f t="shared" si="13"/>
        <v>857.46728971962614</v>
      </c>
      <c r="R115" s="58">
        <f t="shared" si="14"/>
        <v>365533.86454183265</v>
      </c>
      <c r="S115" s="66">
        <f t="shared" si="15"/>
        <v>8.3915028590870673</v>
      </c>
      <c r="T115" s="65">
        <v>214</v>
      </c>
      <c r="U115" s="67" t="s">
        <v>233</v>
      </c>
    </row>
    <row r="116" spans="1:21" s="60" customFormat="1" ht="14.45" x14ac:dyDescent="0.3">
      <c r="A116" s="60" t="s">
        <v>234</v>
      </c>
      <c r="B116" s="60" t="s">
        <v>235</v>
      </c>
      <c r="C116" s="61">
        <v>45429</v>
      </c>
      <c r="D116" s="58">
        <v>475000</v>
      </c>
      <c r="E116" s="60" t="s">
        <v>23</v>
      </c>
      <c r="F116" s="60" t="s">
        <v>24</v>
      </c>
      <c r="G116" s="58">
        <v>475000</v>
      </c>
      <c r="H116" s="58">
        <v>219200</v>
      </c>
      <c r="I116" s="62">
        <f t="shared" si="12"/>
        <v>46.147368421052633</v>
      </c>
      <c r="J116" s="58">
        <v>430201</v>
      </c>
      <c r="K116" s="58">
        <f>G116-352238</f>
        <v>122762</v>
      </c>
      <c r="L116" s="58">
        <v>77963</v>
      </c>
      <c r="M116" s="63">
        <v>74.25</v>
      </c>
      <c r="N116" s="64">
        <v>274</v>
      </c>
      <c r="O116" s="65">
        <v>0.46700000000000003</v>
      </c>
      <c r="P116" s="65">
        <v>0.46700000000000003</v>
      </c>
      <c r="Q116" s="58">
        <f t="shared" si="13"/>
        <v>1653.3602693602693</v>
      </c>
      <c r="R116" s="58">
        <f t="shared" si="14"/>
        <v>262873.66167023551</v>
      </c>
      <c r="S116" s="66">
        <f t="shared" si="15"/>
        <v>6.0347488905012741</v>
      </c>
      <c r="T116" s="65">
        <v>74.25</v>
      </c>
      <c r="U116" s="67"/>
    </row>
    <row r="117" spans="1:21" s="60" customFormat="1" ht="14.45" x14ac:dyDescent="0.3">
      <c r="A117" s="60" t="s">
        <v>236</v>
      </c>
      <c r="B117" s="60" t="s">
        <v>237</v>
      </c>
      <c r="C117" s="61">
        <v>45139</v>
      </c>
      <c r="D117" s="58">
        <v>1000000</v>
      </c>
      <c r="E117" s="60" t="s">
        <v>23</v>
      </c>
      <c r="F117" s="60" t="s">
        <v>24</v>
      </c>
      <c r="G117" s="58">
        <v>1000000</v>
      </c>
      <c r="H117" s="58">
        <v>170600</v>
      </c>
      <c r="I117" s="62">
        <f t="shared" si="12"/>
        <v>17.059999999999999</v>
      </c>
      <c r="J117" s="58">
        <v>378231</v>
      </c>
      <c r="K117" s="58">
        <f>G117-266931</f>
        <v>733069</v>
      </c>
      <c r="L117" s="58">
        <v>111300</v>
      </c>
      <c r="M117" s="63">
        <v>106</v>
      </c>
      <c r="N117" s="64">
        <v>135</v>
      </c>
      <c r="O117" s="65">
        <v>0.32900000000000001</v>
      </c>
      <c r="P117" s="65">
        <v>0.32900000000000001</v>
      </c>
      <c r="Q117" s="58">
        <f t="shared" si="13"/>
        <v>6915.7452830188677</v>
      </c>
      <c r="R117" s="58">
        <f t="shared" si="14"/>
        <v>2228173.2522796351</v>
      </c>
      <c r="S117" s="66">
        <f t="shared" si="15"/>
        <v>51.151819381993455</v>
      </c>
      <c r="T117" s="65">
        <v>106</v>
      </c>
      <c r="U117" s="67"/>
    </row>
    <row r="118" spans="1:21" s="60" customFormat="1" ht="14.45" x14ac:dyDescent="0.3">
      <c r="A118" s="60" t="s">
        <v>238</v>
      </c>
      <c r="B118" s="60" t="s">
        <v>239</v>
      </c>
      <c r="C118" s="61">
        <v>44762</v>
      </c>
      <c r="D118" s="58">
        <v>180000</v>
      </c>
      <c r="E118" s="60" t="s">
        <v>23</v>
      </c>
      <c r="F118" s="60" t="s">
        <v>24</v>
      </c>
      <c r="G118" s="58">
        <v>180000</v>
      </c>
      <c r="H118" s="58">
        <v>74300</v>
      </c>
      <c r="I118" s="62">
        <f t="shared" si="12"/>
        <v>41.277777777777779</v>
      </c>
      <c r="J118" s="58">
        <v>188749</v>
      </c>
      <c r="K118" s="58">
        <f>G118-170249</f>
        <v>9751</v>
      </c>
      <c r="L118" s="58">
        <v>18500</v>
      </c>
      <c r="M118" s="63">
        <v>96</v>
      </c>
      <c r="N118" s="64">
        <v>120</v>
      </c>
      <c r="O118" s="65">
        <v>0.26400000000000001</v>
      </c>
      <c r="P118" s="65">
        <v>0.26400000000000001</v>
      </c>
      <c r="Q118" s="58">
        <f t="shared" si="13"/>
        <v>101.57291666666667</v>
      </c>
      <c r="R118" s="58">
        <f t="shared" si="14"/>
        <v>36935.606060606056</v>
      </c>
      <c r="S118" s="66">
        <f t="shared" si="15"/>
        <v>0.84792484069343566</v>
      </c>
      <c r="T118" s="65">
        <v>96</v>
      </c>
      <c r="U118" s="67"/>
    </row>
    <row r="119" spans="1:21" s="60" customFormat="1" ht="14.45" x14ac:dyDescent="0.3">
      <c r="A119" s="60" t="s">
        <v>243</v>
      </c>
      <c r="B119" s="60" t="s">
        <v>241</v>
      </c>
      <c r="C119" s="61">
        <v>44762</v>
      </c>
      <c r="D119" s="58">
        <v>180000</v>
      </c>
      <c r="E119" s="60" t="s">
        <v>23</v>
      </c>
      <c r="F119" s="60" t="s">
        <v>24</v>
      </c>
      <c r="G119" s="58">
        <v>180000</v>
      </c>
      <c r="H119" s="58">
        <v>72400</v>
      </c>
      <c r="I119" s="62">
        <f t="shared" si="12"/>
        <v>40.222222222222221</v>
      </c>
      <c r="J119" s="58">
        <v>194093</v>
      </c>
      <c r="K119" s="58">
        <f>G119-175593</f>
        <v>4407</v>
      </c>
      <c r="L119" s="58">
        <v>18500</v>
      </c>
      <c r="M119" s="63">
        <v>96</v>
      </c>
      <c r="N119" s="64">
        <v>120</v>
      </c>
      <c r="O119" s="65">
        <v>0.26400000000000001</v>
      </c>
      <c r="P119" s="65">
        <v>0.26400000000000001</v>
      </c>
      <c r="Q119" s="58">
        <f t="shared" si="13"/>
        <v>45.90625</v>
      </c>
      <c r="R119" s="58">
        <f t="shared" si="14"/>
        <v>16693.181818181816</v>
      </c>
      <c r="S119" s="66">
        <f t="shared" si="15"/>
        <v>0.3832227230987561</v>
      </c>
      <c r="T119" s="65">
        <v>96</v>
      </c>
      <c r="U119" s="67"/>
    </row>
    <row r="120" spans="1:21" s="60" customFormat="1" ht="14.45" x14ac:dyDescent="0.3">
      <c r="A120" s="60" t="s">
        <v>244</v>
      </c>
      <c r="B120" s="60" t="s">
        <v>245</v>
      </c>
      <c r="C120" s="61">
        <v>44764</v>
      </c>
      <c r="D120" s="58">
        <v>179000</v>
      </c>
      <c r="E120" s="60" t="s">
        <v>23</v>
      </c>
      <c r="F120" s="60" t="s">
        <v>24</v>
      </c>
      <c r="G120" s="58">
        <v>179000</v>
      </c>
      <c r="H120" s="58">
        <v>71700</v>
      </c>
      <c r="I120" s="62">
        <f t="shared" si="12"/>
        <v>40.055865921787706</v>
      </c>
      <c r="J120" s="58">
        <v>164987</v>
      </c>
      <c r="K120" s="58">
        <f>G120-136007</f>
        <v>42993</v>
      </c>
      <c r="L120" s="58">
        <v>28980</v>
      </c>
      <c r="M120" s="63">
        <v>27.6</v>
      </c>
      <c r="N120" s="64">
        <v>40</v>
      </c>
      <c r="O120" s="65">
        <v>2.5000000000000001E-2</v>
      </c>
      <c r="P120" s="65">
        <v>2.5000000000000001E-2</v>
      </c>
      <c r="Q120" s="58">
        <f t="shared" si="13"/>
        <v>1557.7173913043478</v>
      </c>
      <c r="R120" s="58">
        <f t="shared" si="14"/>
        <v>1719720</v>
      </c>
      <c r="S120" s="66">
        <f t="shared" si="15"/>
        <v>39.47933884297521</v>
      </c>
      <c r="T120" s="65">
        <v>27.6</v>
      </c>
      <c r="U120" s="67"/>
    </row>
    <row r="121" spans="1:21" s="60" customFormat="1" ht="14.45" x14ac:dyDescent="0.3">
      <c r="A121" s="60" t="s">
        <v>246</v>
      </c>
      <c r="B121" s="60" t="s">
        <v>247</v>
      </c>
      <c r="C121" s="61">
        <v>44876</v>
      </c>
      <c r="D121" s="58">
        <v>750000</v>
      </c>
      <c r="E121" s="60" t="s">
        <v>23</v>
      </c>
      <c r="F121" s="60" t="s">
        <v>24</v>
      </c>
      <c r="G121" s="58">
        <v>750000</v>
      </c>
      <c r="H121" s="58">
        <v>142800</v>
      </c>
      <c r="I121" s="62">
        <f t="shared" si="12"/>
        <v>19.040000000000003</v>
      </c>
      <c r="J121" s="58">
        <v>288471</v>
      </c>
      <c r="K121" s="58">
        <f>G121-255396</f>
        <v>494604</v>
      </c>
      <c r="L121" s="58">
        <v>33075</v>
      </c>
      <c r="M121" s="63">
        <v>42</v>
      </c>
      <c r="N121" s="64">
        <v>55</v>
      </c>
      <c r="O121" s="65">
        <v>5.2999999999999999E-2</v>
      </c>
      <c r="P121" s="65">
        <v>5.2999999999999999E-2</v>
      </c>
      <c r="Q121" s="58">
        <f t="shared" si="13"/>
        <v>11776.285714285714</v>
      </c>
      <c r="R121" s="58">
        <f t="shared" si="14"/>
        <v>9332150.9433962274</v>
      </c>
      <c r="S121" s="66">
        <f t="shared" si="15"/>
        <v>214.2367066895369</v>
      </c>
      <c r="T121" s="65">
        <v>42</v>
      </c>
      <c r="U121" s="67"/>
    </row>
    <row r="122" spans="1:21" s="60" customFormat="1" ht="14.45" x14ac:dyDescent="0.3">
      <c r="A122" s="60" t="s">
        <v>250</v>
      </c>
      <c r="B122" s="60" t="s">
        <v>251</v>
      </c>
      <c r="C122" s="61">
        <v>45105</v>
      </c>
      <c r="D122" s="58">
        <v>84000</v>
      </c>
      <c r="E122" s="60" t="s">
        <v>23</v>
      </c>
      <c r="F122" s="60" t="s">
        <v>24</v>
      </c>
      <c r="G122" s="58">
        <v>84000</v>
      </c>
      <c r="H122" s="58">
        <v>50000</v>
      </c>
      <c r="I122" s="62">
        <f t="shared" si="12"/>
        <v>59.523809523809526</v>
      </c>
      <c r="J122" s="58">
        <v>25000</v>
      </c>
      <c r="K122" s="58">
        <f>G122-0</f>
        <v>84000</v>
      </c>
      <c r="L122" s="58">
        <v>25000</v>
      </c>
      <c r="M122" s="63">
        <v>27</v>
      </c>
      <c r="N122" s="64">
        <v>260</v>
      </c>
      <c r="O122" s="65">
        <v>0.19</v>
      </c>
      <c r="P122" s="65">
        <v>0.19</v>
      </c>
      <c r="Q122" s="58">
        <f t="shared" si="13"/>
        <v>3111.1111111111113</v>
      </c>
      <c r="R122" s="58">
        <f t="shared" si="14"/>
        <v>442105.26315789472</v>
      </c>
      <c r="S122" s="66">
        <f t="shared" si="15"/>
        <v>10.149340292880963</v>
      </c>
      <c r="T122" s="65">
        <v>0</v>
      </c>
      <c r="U122" s="67"/>
    </row>
    <row r="123" spans="1:21" s="60" customFormat="1" thickBot="1" x14ac:dyDescent="0.35">
      <c r="A123" s="60" t="s">
        <v>252</v>
      </c>
      <c r="B123" s="60" t="s">
        <v>253</v>
      </c>
      <c r="C123" s="61">
        <v>45265</v>
      </c>
      <c r="D123" s="58">
        <v>675000</v>
      </c>
      <c r="E123" s="60" t="s">
        <v>23</v>
      </c>
      <c r="F123" s="60" t="s">
        <v>24</v>
      </c>
      <c r="G123" s="58">
        <v>675000</v>
      </c>
      <c r="H123" s="58">
        <v>291200</v>
      </c>
      <c r="I123" s="62">
        <f t="shared" si="12"/>
        <v>43.140740740740739</v>
      </c>
      <c r="J123" s="58">
        <v>448122</v>
      </c>
      <c r="K123" s="58">
        <f>G123-206622</f>
        <v>468378</v>
      </c>
      <c r="L123" s="58">
        <v>241500</v>
      </c>
      <c r="M123" s="63">
        <v>230</v>
      </c>
      <c r="N123" s="64">
        <v>694</v>
      </c>
      <c r="O123" s="65">
        <v>3.6640000000000001</v>
      </c>
      <c r="P123" s="65">
        <v>3.6640000000000001</v>
      </c>
      <c r="Q123" s="58">
        <f t="shared" si="13"/>
        <v>2036.4260869565217</v>
      </c>
      <c r="R123" s="58">
        <f t="shared" si="14"/>
        <v>127832.42358078602</v>
      </c>
      <c r="S123" s="66">
        <f t="shared" si="15"/>
        <v>2.9346286405139126</v>
      </c>
      <c r="T123" s="65">
        <v>230</v>
      </c>
      <c r="U123" s="67"/>
    </row>
    <row r="124" spans="1:21" thickBot="1" x14ac:dyDescent="0.35">
      <c r="O124" s="54" t="s">
        <v>282</v>
      </c>
      <c r="Q124" s="50">
        <f>AVERAGE(Q100:Q123)</f>
        <v>2600.8539025925061</v>
      </c>
    </row>
    <row r="125" spans="1:21" thickTop="1" x14ac:dyDescent="0.3">
      <c r="A125" s="2"/>
      <c r="B125" s="2"/>
      <c r="C125" s="14" t="s">
        <v>254</v>
      </c>
      <c r="D125" s="6">
        <f>+SUM(D2:D124)</f>
        <v>42073017</v>
      </c>
      <c r="E125" s="2"/>
      <c r="F125" s="2"/>
      <c r="G125" s="6">
        <f>+SUM(G2:G124)</f>
        <v>42023017</v>
      </c>
      <c r="H125" s="6">
        <f>+SUM(H2:H124)</f>
        <v>15102000</v>
      </c>
      <c r="I125" s="10"/>
      <c r="J125" s="6">
        <f>+SUM(J2:J124)</f>
        <v>29564944</v>
      </c>
      <c r="K125" s="6">
        <f>+SUM(K2:K124)</f>
        <v>23164292</v>
      </c>
      <c r="L125" s="6">
        <f>+SUM(L2:L124)</f>
        <v>10659819</v>
      </c>
      <c r="M125" s="18">
        <f>+SUM(M2:M124)</f>
        <v>19049.519999999997</v>
      </c>
      <c r="N125" s="21"/>
      <c r="O125" s="25">
        <f>+SUM(O2:O124)</f>
        <v>293.541</v>
      </c>
      <c r="P125" s="25">
        <f>+SUM(P2:P124)</f>
        <v>271.99899999999985</v>
      </c>
      <c r="Q125" s="6"/>
      <c r="R125" s="6"/>
      <c r="S125" s="29"/>
      <c r="T125" s="25"/>
      <c r="U125" s="44"/>
    </row>
    <row r="126" spans="1:21" ht="14.45" x14ac:dyDescent="0.3">
      <c r="A126" s="3"/>
      <c r="B126" s="3"/>
      <c r="C126" s="15"/>
      <c r="D126" s="7"/>
      <c r="E126" s="3"/>
      <c r="F126" s="3"/>
      <c r="G126" s="7"/>
      <c r="H126" s="7" t="s">
        <v>255</v>
      </c>
      <c r="I126" s="11">
        <f>H125/G125*100</f>
        <v>35.937448279831976</v>
      </c>
      <c r="J126" s="7"/>
      <c r="K126" s="7"/>
      <c r="L126" s="7" t="s">
        <v>256</v>
      </c>
      <c r="M126" s="19"/>
      <c r="N126" s="22"/>
      <c r="O126" s="26" t="s">
        <v>256</v>
      </c>
      <c r="P126" s="26"/>
      <c r="Q126" s="7"/>
      <c r="R126" s="7" t="s">
        <v>256</v>
      </c>
      <c r="S126" s="30"/>
      <c r="T126" s="26"/>
      <c r="U126" s="45"/>
    </row>
    <row r="127" spans="1:21" ht="14.45" x14ac:dyDescent="0.3">
      <c r="A127" s="4"/>
      <c r="B127" s="4"/>
      <c r="C127" s="16"/>
      <c r="D127" s="8"/>
      <c r="E127" s="4"/>
      <c r="F127" s="4"/>
      <c r="G127" s="8"/>
      <c r="H127" s="8" t="s">
        <v>257</v>
      </c>
      <c r="I127" s="12">
        <f>STDEV(I2:I124)</f>
        <v>22.601569519153944</v>
      </c>
      <c r="J127" s="8"/>
      <c r="K127" s="8"/>
      <c r="L127" s="8" t="s">
        <v>258</v>
      </c>
      <c r="M127" s="32">
        <f>K125/M125</f>
        <v>1216.0039728035144</v>
      </c>
      <c r="N127" s="23"/>
      <c r="O127" s="27" t="s">
        <v>259</v>
      </c>
      <c r="P127" s="27">
        <f>K125/O125</f>
        <v>78913.310236048797</v>
      </c>
      <c r="Q127" s="8"/>
      <c r="R127" s="8" t="s">
        <v>260</v>
      </c>
      <c r="S127" s="31">
        <f>K125/O125/43560</f>
        <v>1.8116003268147107</v>
      </c>
      <c r="T127" s="27"/>
      <c r="U127" s="46"/>
    </row>
    <row r="131" spans="1:21" ht="14.45" x14ac:dyDescent="0.3">
      <c r="A131" s="34" t="s">
        <v>261</v>
      </c>
      <c r="B131" s="34"/>
    </row>
    <row r="132" spans="1:21" ht="14.45" x14ac:dyDescent="0.3">
      <c r="A132" t="s">
        <v>97</v>
      </c>
      <c r="B132" t="s">
        <v>98</v>
      </c>
      <c r="C132" s="13">
        <v>44893</v>
      </c>
      <c r="D132" s="5">
        <v>120000</v>
      </c>
      <c r="E132" t="s">
        <v>23</v>
      </c>
      <c r="F132" t="s">
        <v>24</v>
      </c>
      <c r="G132" s="5">
        <v>120000</v>
      </c>
      <c r="H132" s="5">
        <v>89000</v>
      </c>
      <c r="I132" s="9">
        <f>H132/G132*100</f>
        <v>74.166666666666671</v>
      </c>
      <c r="J132" s="5">
        <v>184128</v>
      </c>
      <c r="K132" s="5">
        <f>G132-162393</f>
        <v>-42393</v>
      </c>
      <c r="L132" s="5">
        <v>21735</v>
      </c>
      <c r="M132" s="17">
        <v>72.5</v>
      </c>
      <c r="N132" s="20">
        <v>114.041382</v>
      </c>
      <c r="O132" s="24">
        <v>0.19</v>
      </c>
      <c r="P132" s="24">
        <v>0.19</v>
      </c>
      <c r="Q132" s="5">
        <f>K132/M132</f>
        <v>-584.73103448275867</v>
      </c>
      <c r="R132" s="5">
        <f>K132/O132</f>
        <v>-223121.05263157893</v>
      </c>
      <c r="S132" s="28">
        <f>K132/O132/43560</f>
        <v>-5.1221545599536027</v>
      </c>
      <c r="T132" s="24">
        <v>72.5</v>
      </c>
    </row>
    <row r="133" spans="1:21" ht="14.45" x14ac:dyDescent="0.3">
      <c r="A133" t="s">
        <v>108</v>
      </c>
      <c r="B133" t="s">
        <v>109</v>
      </c>
      <c r="C133" s="13">
        <v>44903</v>
      </c>
      <c r="D133" s="5">
        <v>350000</v>
      </c>
      <c r="E133" t="s">
        <v>110</v>
      </c>
      <c r="F133" t="s">
        <v>24</v>
      </c>
      <c r="G133" s="5">
        <v>350000</v>
      </c>
      <c r="H133" s="5">
        <v>264900</v>
      </c>
      <c r="I133" s="9">
        <v>75.685714285714283</v>
      </c>
      <c r="J133" s="5">
        <v>641712</v>
      </c>
      <c r="K133" s="5">
        <v>-158872</v>
      </c>
      <c r="L133" s="5">
        <v>132840</v>
      </c>
      <c r="M133" s="17">
        <v>246</v>
      </c>
      <c r="N133" s="20">
        <v>297</v>
      </c>
      <c r="O133" s="24">
        <v>1.677</v>
      </c>
      <c r="P133" s="24">
        <v>1.677</v>
      </c>
      <c r="Q133" s="5">
        <v>-645.82113821138216</v>
      </c>
      <c r="R133" s="5">
        <v>-94735.837805605246</v>
      </c>
      <c r="S133" s="28">
        <v>-2.1748355786410754</v>
      </c>
      <c r="T133" s="24">
        <v>246</v>
      </c>
    </row>
    <row r="134" spans="1:21" ht="14.45" x14ac:dyDescent="0.3">
      <c r="A134" t="s">
        <v>119</v>
      </c>
      <c r="B134" t="s">
        <v>120</v>
      </c>
      <c r="C134" s="13">
        <v>45142</v>
      </c>
      <c r="D134" s="5">
        <v>50000</v>
      </c>
      <c r="E134" t="s">
        <v>23</v>
      </c>
      <c r="F134" t="s">
        <v>24</v>
      </c>
      <c r="G134" s="5">
        <v>50000</v>
      </c>
      <c r="H134" s="5">
        <v>35300</v>
      </c>
      <c r="I134" s="9">
        <v>70.599999999999994</v>
      </c>
      <c r="J134" s="5">
        <v>77907</v>
      </c>
      <c r="K134" s="5">
        <v>-6907</v>
      </c>
      <c r="L134" s="5">
        <v>21000</v>
      </c>
      <c r="M134" s="17">
        <v>60</v>
      </c>
      <c r="N134" s="20">
        <v>72</v>
      </c>
      <c r="O134" s="24">
        <v>9.9000000000000005E-2</v>
      </c>
      <c r="P134" s="24">
        <v>9.9000000000000005E-2</v>
      </c>
      <c r="Q134" s="5">
        <v>-115.11666666666666</v>
      </c>
      <c r="R134" s="5">
        <v>-69767.676767676763</v>
      </c>
      <c r="S134" s="28">
        <v>-1.601645472168888</v>
      </c>
      <c r="T134" s="24">
        <v>60</v>
      </c>
    </row>
    <row r="135" spans="1:21" ht="14.45" x14ac:dyDescent="0.3">
      <c r="A135" t="s">
        <v>33</v>
      </c>
      <c r="B135" t="s">
        <v>34</v>
      </c>
      <c r="C135" s="13">
        <v>45195</v>
      </c>
      <c r="D135" s="5">
        <v>1100000</v>
      </c>
      <c r="E135" t="s">
        <v>23</v>
      </c>
      <c r="F135" t="s">
        <v>24</v>
      </c>
      <c r="G135" s="5">
        <v>1100000</v>
      </c>
      <c r="H135" s="5">
        <v>625200</v>
      </c>
      <c r="I135" s="9">
        <v>56.836363636363643</v>
      </c>
      <c r="J135" s="5">
        <v>1459998</v>
      </c>
      <c r="K135" s="5">
        <v>-108898</v>
      </c>
      <c r="L135" s="5">
        <v>251100</v>
      </c>
      <c r="M135" s="17">
        <v>465</v>
      </c>
      <c r="N135" s="20">
        <v>200</v>
      </c>
      <c r="O135" s="24">
        <v>2.1349999999999998</v>
      </c>
      <c r="P135" s="24">
        <v>2.1349999999999998</v>
      </c>
      <c r="Q135" s="5">
        <v>-234.18924731182796</v>
      </c>
      <c r="R135" s="5">
        <v>-51006.088992974241</v>
      </c>
      <c r="S135" s="28">
        <v>-1.1709386821160295</v>
      </c>
      <c r="T135" s="24">
        <v>465</v>
      </c>
    </row>
    <row r="136" spans="1:21" ht="14.45" x14ac:dyDescent="0.3">
      <c r="A136" t="s">
        <v>46</v>
      </c>
      <c r="B136" t="s">
        <v>47</v>
      </c>
      <c r="C136" s="13">
        <v>45089</v>
      </c>
      <c r="D136" s="5">
        <v>430000</v>
      </c>
      <c r="E136" t="s">
        <v>23</v>
      </c>
      <c r="F136" t="s">
        <v>24</v>
      </c>
      <c r="G136" s="5">
        <v>430000</v>
      </c>
      <c r="H136" s="5">
        <v>235500</v>
      </c>
      <c r="I136" s="9">
        <v>54.767441860465112</v>
      </c>
      <c r="J136" s="5">
        <v>661473</v>
      </c>
      <c r="K136" s="5">
        <v>-181598</v>
      </c>
      <c r="L136" s="5">
        <v>49875</v>
      </c>
      <c r="M136" s="17">
        <v>114</v>
      </c>
      <c r="N136" s="20">
        <v>287</v>
      </c>
      <c r="O136" s="24">
        <v>0.751</v>
      </c>
      <c r="P136" s="24">
        <v>0.751</v>
      </c>
      <c r="Q136" s="5">
        <v>-1592.9649122807018</v>
      </c>
      <c r="R136" s="5">
        <v>-241808.25565912118</v>
      </c>
      <c r="S136" s="28">
        <v>-5.5511537111827636</v>
      </c>
      <c r="T136" s="24">
        <v>114</v>
      </c>
    </row>
    <row r="137" spans="1:21" ht="14.45" x14ac:dyDescent="0.3">
      <c r="A137" t="s">
        <v>60</v>
      </c>
      <c r="B137" t="s">
        <v>61</v>
      </c>
      <c r="C137" s="13">
        <v>45236</v>
      </c>
      <c r="D137" s="5">
        <v>50000</v>
      </c>
      <c r="E137" t="s">
        <v>23</v>
      </c>
      <c r="F137" t="s">
        <v>24</v>
      </c>
      <c r="G137" s="5">
        <v>50000</v>
      </c>
      <c r="H137" s="5">
        <v>53200</v>
      </c>
      <c r="I137" s="9">
        <v>106.4</v>
      </c>
      <c r="J137" s="5">
        <v>151573</v>
      </c>
      <c r="K137" s="5">
        <v>-32273</v>
      </c>
      <c r="L137" s="5">
        <v>69300</v>
      </c>
      <c r="M137" s="17">
        <v>198</v>
      </c>
      <c r="N137" s="20">
        <v>440</v>
      </c>
      <c r="O137" s="24">
        <v>2</v>
      </c>
      <c r="P137" s="24">
        <v>2</v>
      </c>
      <c r="Q137" s="5">
        <v>-162.99494949494951</v>
      </c>
      <c r="R137" s="5">
        <v>-16136.5</v>
      </c>
      <c r="S137" s="28">
        <v>-0.37044306703397611</v>
      </c>
      <c r="T137" s="24">
        <v>198</v>
      </c>
    </row>
    <row r="138" spans="1:21" ht="14.45" x14ac:dyDescent="0.3">
      <c r="A138" t="s">
        <v>123</v>
      </c>
      <c r="B138" t="s">
        <v>124</v>
      </c>
      <c r="C138" s="13">
        <v>45219</v>
      </c>
      <c r="D138" s="5">
        <v>255000</v>
      </c>
      <c r="E138" t="s">
        <v>23</v>
      </c>
      <c r="F138" t="s">
        <v>24</v>
      </c>
      <c r="G138" s="5">
        <v>255000</v>
      </c>
      <c r="H138" s="5">
        <v>250300</v>
      </c>
      <c r="I138" s="9">
        <v>98.156862745098039</v>
      </c>
      <c r="J138" s="5">
        <v>383975</v>
      </c>
      <c r="K138" s="5">
        <v>-44975</v>
      </c>
      <c r="L138" s="5">
        <v>84000</v>
      </c>
      <c r="M138" s="17">
        <v>240</v>
      </c>
      <c r="N138" s="20">
        <v>175</v>
      </c>
      <c r="O138" s="24">
        <v>0.96399999999999997</v>
      </c>
      <c r="P138" s="24">
        <v>0.96399999999999997</v>
      </c>
      <c r="Q138" s="5">
        <v>-187.39583333333334</v>
      </c>
      <c r="R138" s="5">
        <v>-46654.564315352698</v>
      </c>
      <c r="S138" s="28">
        <v>-1.0710414213809158</v>
      </c>
      <c r="T138" s="24">
        <v>240</v>
      </c>
    </row>
    <row r="139" spans="1:21" ht="14.45" x14ac:dyDescent="0.3">
      <c r="A139" t="s">
        <v>145</v>
      </c>
      <c r="B139" t="s">
        <v>146</v>
      </c>
      <c r="C139" s="13">
        <v>45168</v>
      </c>
      <c r="D139" s="5">
        <v>65000</v>
      </c>
      <c r="E139" t="s">
        <v>23</v>
      </c>
      <c r="F139" t="s">
        <v>24</v>
      </c>
      <c r="G139" s="5">
        <v>65000</v>
      </c>
      <c r="H139" s="5">
        <v>57000</v>
      </c>
      <c r="I139" s="9">
        <v>87.692307692307693</v>
      </c>
      <c r="J139" s="5">
        <v>117920</v>
      </c>
      <c r="K139" s="5">
        <v>-17920</v>
      </c>
      <c r="L139" s="5">
        <v>35000</v>
      </c>
      <c r="M139" s="17">
        <v>100</v>
      </c>
      <c r="N139" s="20">
        <v>100</v>
      </c>
      <c r="O139" s="24">
        <v>0.23</v>
      </c>
      <c r="P139" s="24">
        <v>0.23</v>
      </c>
      <c r="Q139" s="5">
        <v>-179.2</v>
      </c>
      <c r="R139" s="5">
        <v>-77913.043478260865</v>
      </c>
      <c r="S139" s="28">
        <v>-1.7886373617598912</v>
      </c>
      <c r="T139" s="24">
        <v>100</v>
      </c>
    </row>
    <row r="140" spans="1:21" ht="14.45" x14ac:dyDescent="0.3">
      <c r="A140" t="s">
        <v>140</v>
      </c>
      <c r="B140" t="s">
        <v>141</v>
      </c>
      <c r="C140" s="13">
        <v>45247</v>
      </c>
      <c r="D140" s="5">
        <v>30000</v>
      </c>
      <c r="E140" t="s">
        <v>23</v>
      </c>
      <c r="F140" t="s">
        <v>24</v>
      </c>
      <c r="G140" s="5">
        <v>30000</v>
      </c>
      <c r="H140" s="5">
        <v>63300</v>
      </c>
      <c r="I140" s="9">
        <v>211</v>
      </c>
      <c r="J140" s="5">
        <v>90603</v>
      </c>
      <c r="K140" s="5">
        <v>-38728</v>
      </c>
      <c r="L140" s="5">
        <v>21875</v>
      </c>
      <c r="M140" s="17">
        <v>62.5</v>
      </c>
      <c r="N140" s="20">
        <v>120</v>
      </c>
      <c r="O140" s="24">
        <v>0.17199999999999999</v>
      </c>
      <c r="P140" s="24">
        <v>0.17199999999999999</v>
      </c>
      <c r="Q140" s="5">
        <v>-619.64800000000002</v>
      </c>
      <c r="R140" s="5">
        <v>-225162.79069767444</v>
      </c>
      <c r="S140" s="28">
        <v>-5.1690264163837112</v>
      </c>
      <c r="T140" s="24">
        <v>62.5</v>
      </c>
    </row>
    <row r="141" spans="1:21" ht="14.45" x14ac:dyDescent="0.3">
      <c r="A141" t="s">
        <v>157</v>
      </c>
      <c r="B141" t="s">
        <v>158</v>
      </c>
      <c r="C141" s="13">
        <v>44987</v>
      </c>
      <c r="D141" s="5">
        <v>70000</v>
      </c>
      <c r="E141" t="s">
        <v>23</v>
      </c>
      <c r="F141" t="s">
        <v>24</v>
      </c>
      <c r="G141" s="5">
        <v>70000</v>
      </c>
      <c r="H141" s="5">
        <v>35900</v>
      </c>
      <c r="I141" s="9">
        <v>51.285714285714292</v>
      </c>
      <c r="J141" s="5">
        <v>141575</v>
      </c>
      <c r="K141" s="5">
        <v>-49075</v>
      </c>
      <c r="L141" s="5">
        <v>22500</v>
      </c>
      <c r="M141" s="17">
        <v>25</v>
      </c>
      <c r="N141" s="20">
        <v>89</v>
      </c>
      <c r="O141" s="24">
        <v>5.0999999999999997E-2</v>
      </c>
      <c r="P141" s="24">
        <v>5.0999999999999997E-2</v>
      </c>
      <c r="Q141" s="5">
        <v>-1963</v>
      </c>
      <c r="R141" s="5">
        <v>-962254.90196078434</v>
      </c>
      <c r="S141" s="28">
        <v>-22.090332919209924</v>
      </c>
      <c r="T141" s="24">
        <v>25</v>
      </c>
    </row>
    <row r="142" spans="1:21" x14ac:dyDescent="0.25">
      <c r="A142" t="s">
        <v>178</v>
      </c>
      <c r="B142" t="s">
        <v>179</v>
      </c>
      <c r="C142" s="13">
        <v>45390</v>
      </c>
      <c r="D142" s="5">
        <v>1700000</v>
      </c>
      <c r="E142" t="s">
        <v>23</v>
      </c>
      <c r="F142" t="s">
        <v>24</v>
      </c>
      <c r="G142" s="5">
        <v>1700000</v>
      </c>
      <c r="H142" s="5">
        <v>1309500</v>
      </c>
      <c r="I142" s="9">
        <v>77.029411764705884</v>
      </c>
      <c r="J142" s="5">
        <v>2334874</v>
      </c>
      <c r="K142" s="5">
        <v>-634874</v>
      </c>
      <c r="L142" s="5">
        <v>0</v>
      </c>
      <c r="M142" s="17">
        <v>399</v>
      </c>
      <c r="N142" s="20">
        <v>532</v>
      </c>
      <c r="O142" s="24">
        <v>0</v>
      </c>
      <c r="P142" s="24">
        <v>0</v>
      </c>
      <c r="Q142" s="5">
        <v>-1591.1629072681703</v>
      </c>
      <c r="R142" s="5" t="e">
        <v>#DIV/0!</v>
      </c>
      <c r="S142" s="28" t="e">
        <v>#DIV/0!</v>
      </c>
      <c r="T142" s="24">
        <v>399</v>
      </c>
    </row>
    <row r="143" spans="1:21" x14ac:dyDescent="0.25">
      <c r="A143" t="s">
        <v>185</v>
      </c>
      <c r="B143" t="s">
        <v>186</v>
      </c>
      <c r="C143" s="13">
        <v>45393</v>
      </c>
      <c r="D143" s="5">
        <v>350000</v>
      </c>
      <c r="E143" t="s">
        <v>23</v>
      </c>
      <c r="F143" t="s">
        <v>24</v>
      </c>
      <c r="G143" s="5">
        <v>350000</v>
      </c>
      <c r="H143" s="5">
        <v>204200</v>
      </c>
      <c r="I143" s="9">
        <v>58.342857142857142</v>
      </c>
      <c r="J143" s="5">
        <v>545552</v>
      </c>
      <c r="K143" s="5">
        <v>-24552</v>
      </c>
      <c r="L143" s="5">
        <v>171000</v>
      </c>
      <c r="M143" s="17">
        <v>190</v>
      </c>
      <c r="N143" s="20">
        <v>416</v>
      </c>
      <c r="O143" s="24">
        <v>1.8149999999999999</v>
      </c>
      <c r="P143" s="24">
        <v>1.8149999999999999</v>
      </c>
      <c r="Q143" s="5">
        <v>-129.22105263157894</v>
      </c>
      <c r="R143" s="5">
        <v>-13527.272727272728</v>
      </c>
      <c r="S143" s="28">
        <v>-0.3105434510393188</v>
      </c>
      <c r="T143" s="24">
        <v>190</v>
      </c>
    </row>
    <row r="144" spans="1:21" ht="40.5" customHeight="1" x14ac:dyDescent="0.25">
      <c r="A144" t="s">
        <v>191</v>
      </c>
      <c r="B144" t="s">
        <v>192</v>
      </c>
      <c r="C144" s="13">
        <v>45104</v>
      </c>
      <c r="D144" s="5">
        <v>50000</v>
      </c>
      <c r="E144" t="s">
        <v>23</v>
      </c>
      <c r="F144" t="s">
        <v>58</v>
      </c>
      <c r="G144" s="5">
        <v>50000</v>
      </c>
      <c r="H144" s="5">
        <v>32100</v>
      </c>
      <c r="I144" s="9">
        <v>64.2</v>
      </c>
      <c r="J144" s="5">
        <v>1002762</v>
      </c>
      <c r="K144" s="5">
        <v>-818362</v>
      </c>
      <c r="L144" s="5">
        <v>134400</v>
      </c>
      <c r="M144" s="17">
        <v>102</v>
      </c>
      <c r="N144" s="20">
        <v>480</v>
      </c>
      <c r="O144" s="24">
        <v>0.35</v>
      </c>
      <c r="P144" s="24">
        <v>0.14399999999999999</v>
      </c>
      <c r="Q144" s="5">
        <v>-8023.1568627450979</v>
      </c>
      <c r="R144" s="5">
        <v>-2338177.1428571432</v>
      </c>
      <c r="S144" s="28">
        <v>-53.677161222615773</v>
      </c>
      <c r="T144" s="24">
        <v>102</v>
      </c>
      <c r="U144" s="43" t="s">
        <v>193</v>
      </c>
    </row>
    <row r="145" spans="1:22" x14ac:dyDescent="0.25">
      <c r="A145" t="s">
        <v>200</v>
      </c>
      <c r="B145" t="s">
        <v>201</v>
      </c>
      <c r="C145" s="13">
        <v>44847</v>
      </c>
      <c r="D145" s="5">
        <v>250000</v>
      </c>
      <c r="E145" t="s">
        <v>23</v>
      </c>
      <c r="F145" t="s">
        <v>24</v>
      </c>
      <c r="G145" s="5">
        <v>250000</v>
      </c>
      <c r="H145" s="5">
        <v>202500</v>
      </c>
      <c r="I145" s="9">
        <v>81</v>
      </c>
      <c r="J145" s="5">
        <v>519755</v>
      </c>
      <c r="K145" s="5">
        <v>-122755</v>
      </c>
      <c r="L145" s="5">
        <v>147000</v>
      </c>
      <c r="M145" s="17">
        <v>200</v>
      </c>
      <c r="N145" s="20">
        <v>84</v>
      </c>
      <c r="O145" s="24">
        <v>0.38600000000000001</v>
      </c>
      <c r="P145" s="24">
        <v>0.38600000000000001</v>
      </c>
      <c r="Q145" s="5">
        <v>-613.77499999999998</v>
      </c>
      <c r="R145" s="5">
        <v>-318018.1347150259</v>
      </c>
      <c r="S145" s="28">
        <v>-7.3006917978656078</v>
      </c>
      <c r="T145" s="24">
        <v>200</v>
      </c>
    </row>
    <row r="146" spans="1:22" x14ac:dyDescent="0.25">
      <c r="A146" t="s">
        <v>240</v>
      </c>
      <c r="B146" t="s">
        <v>241</v>
      </c>
      <c r="C146" s="13">
        <v>44701</v>
      </c>
      <c r="D146" s="5">
        <v>172000</v>
      </c>
      <c r="E146" t="s">
        <v>23</v>
      </c>
      <c r="F146" t="s">
        <v>24</v>
      </c>
      <c r="G146" s="5">
        <v>172000</v>
      </c>
      <c r="H146" s="5">
        <v>172700</v>
      </c>
      <c r="I146" s="9">
        <f t="shared" ref="I146:I156" si="16">H146/G146*100</f>
        <v>100.40697674418604</v>
      </c>
      <c r="J146" s="5">
        <v>406279</v>
      </c>
      <c r="K146" s="5">
        <f>G146-373015</f>
        <v>-201015</v>
      </c>
      <c r="L146" s="5">
        <v>33264</v>
      </c>
      <c r="M146" s="17">
        <v>96</v>
      </c>
      <c r="N146" s="20">
        <v>100</v>
      </c>
      <c r="O146" s="24">
        <v>0.22</v>
      </c>
      <c r="P146" s="24">
        <v>0.22</v>
      </c>
      <c r="Q146" s="5">
        <f t="shared" ref="Q146:Q156" si="17">K146/M146</f>
        <v>-2093.90625</v>
      </c>
      <c r="R146" s="5">
        <f t="shared" ref="R146:R156" si="18">K146/O146</f>
        <v>-913704.54545454541</v>
      </c>
      <c r="S146" s="28">
        <f t="shared" ref="S146:S156" si="19">K146/O146/43560</f>
        <v>-20.975770097670924</v>
      </c>
      <c r="T146" s="24">
        <v>96</v>
      </c>
    </row>
    <row r="147" spans="1:22" x14ac:dyDescent="0.25">
      <c r="A147" t="s">
        <v>240</v>
      </c>
      <c r="B147" t="s">
        <v>241</v>
      </c>
      <c r="C147" s="13">
        <v>44775</v>
      </c>
      <c r="D147" s="5">
        <v>322000</v>
      </c>
      <c r="E147" t="s">
        <v>23</v>
      </c>
      <c r="F147" t="s">
        <v>24</v>
      </c>
      <c r="G147" s="5">
        <v>322000</v>
      </c>
      <c r="H147" s="5">
        <v>172700</v>
      </c>
      <c r="I147" s="9">
        <f t="shared" si="16"/>
        <v>53.633540372670808</v>
      </c>
      <c r="J147" s="5">
        <v>406279</v>
      </c>
      <c r="K147" s="5">
        <f>G147-373015</f>
        <v>-51015</v>
      </c>
      <c r="L147" s="5">
        <v>33264</v>
      </c>
      <c r="M147" s="17">
        <v>96</v>
      </c>
      <c r="N147" s="20">
        <v>100</v>
      </c>
      <c r="O147" s="24">
        <v>0.22</v>
      </c>
      <c r="P147" s="24">
        <v>0.22</v>
      </c>
      <c r="Q147" s="5">
        <f t="shared" si="17"/>
        <v>-531.40625</v>
      </c>
      <c r="R147" s="5">
        <f t="shared" si="18"/>
        <v>-231886.36363636365</v>
      </c>
      <c r="S147" s="28">
        <f t="shared" si="19"/>
        <v>-5.3233784122213876</v>
      </c>
      <c r="T147" s="24">
        <v>96</v>
      </c>
    </row>
    <row r="148" spans="1:22" x14ac:dyDescent="0.25">
      <c r="A148" t="s">
        <v>242</v>
      </c>
      <c r="B148" t="s">
        <v>241</v>
      </c>
      <c r="C148" s="13">
        <v>44925</v>
      </c>
      <c r="D148" s="5">
        <v>192000</v>
      </c>
      <c r="E148" t="s">
        <v>37</v>
      </c>
      <c r="F148" t="s">
        <v>24</v>
      </c>
      <c r="G148" s="5">
        <v>192000</v>
      </c>
      <c r="H148" s="5">
        <v>99200</v>
      </c>
      <c r="I148" s="9">
        <f t="shared" si="16"/>
        <v>51.666666666666671</v>
      </c>
      <c r="J148" s="5">
        <v>227102</v>
      </c>
      <c r="K148" s="5">
        <f>G148-208602</f>
        <v>-16602</v>
      </c>
      <c r="L148" s="5">
        <v>18500</v>
      </c>
      <c r="M148" s="17">
        <v>96</v>
      </c>
      <c r="N148" s="20">
        <v>120</v>
      </c>
      <c r="O148" s="24">
        <v>0.26400000000000001</v>
      </c>
      <c r="P148" s="24">
        <v>0.26400000000000001</v>
      </c>
      <c r="Q148" s="5">
        <f t="shared" si="17"/>
        <v>-172.9375</v>
      </c>
      <c r="R148" s="5">
        <f t="shared" si="18"/>
        <v>-62886.363636363632</v>
      </c>
      <c r="S148" s="28">
        <f t="shared" si="19"/>
        <v>-1.4436722597879621</v>
      </c>
      <c r="T148" s="24">
        <v>96</v>
      </c>
    </row>
    <row r="149" spans="1:22" x14ac:dyDescent="0.25">
      <c r="A149" t="s">
        <v>248</v>
      </c>
      <c r="B149" t="s">
        <v>249</v>
      </c>
      <c r="C149" s="13">
        <v>45009</v>
      </c>
      <c r="D149" s="5">
        <v>60000</v>
      </c>
      <c r="E149" t="s">
        <v>23</v>
      </c>
      <c r="F149" t="s">
        <v>24</v>
      </c>
      <c r="G149" s="5">
        <v>60000</v>
      </c>
      <c r="H149" s="5">
        <v>53200</v>
      </c>
      <c r="I149" s="9">
        <f t="shared" si="16"/>
        <v>88.666666666666671</v>
      </c>
      <c r="J149" s="5">
        <v>112430</v>
      </c>
      <c r="K149" s="5">
        <f>G149-90774</f>
        <v>-30774</v>
      </c>
      <c r="L149" s="5">
        <v>21656</v>
      </c>
      <c r="M149" s="17">
        <v>27.5</v>
      </c>
      <c r="N149" s="20">
        <v>31.25</v>
      </c>
      <c r="O149" s="24">
        <v>0.02</v>
      </c>
      <c r="P149" s="24">
        <v>0.02</v>
      </c>
      <c r="Q149" s="5">
        <f t="shared" si="17"/>
        <v>-1119.0545454545454</v>
      </c>
      <c r="R149" s="5">
        <f t="shared" si="18"/>
        <v>-1538700</v>
      </c>
      <c r="S149" s="28">
        <f t="shared" si="19"/>
        <v>-35.323691460055095</v>
      </c>
      <c r="T149" s="24">
        <v>27.5</v>
      </c>
    </row>
    <row r="150" spans="1:22" x14ac:dyDescent="0.25">
      <c r="A150" t="s">
        <v>248</v>
      </c>
      <c r="B150" t="s">
        <v>249</v>
      </c>
      <c r="C150" s="13">
        <v>45366</v>
      </c>
      <c r="D150" s="5">
        <v>79900</v>
      </c>
      <c r="E150" t="s">
        <v>23</v>
      </c>
      <c r="F150" t="s">
        <v>24</v>
      </c>
      <c r="G150" s="5">
        <v>79900</v>
      </c>
      <c r="H150" s="5">
        <v>53900</v>
      </c>
      <c r="I150" s="9">
        <f t="shared" si="16"/>
        <v>67.459324155193983</v>
      </c>
      <c r="J150" s="5">
        <v>112430</v>
      </c>
      <c r="K150" s="5">
        <f>G150-90774</f>
        <v>-10874</v>
      </c>
      <c r="L150" s="5">
        <v>21656</v>
      </c>
      <c r="M150" s="17">
        <v>27.5</v>
      </c>
      <c r="N150" s="20">
        <v>31.25</v>
      </c>
      <c r="O150" s="24">
        <v>0.02</v>
      </c>
      <c r="P150" s="24">
        <v>0.02</v>
      </c>
      <c r="Q150" s="5">
        <f t="shared" si="17"/>
        <v>-395.41818181818184</v>
      </c>
      <c r="R150" s="5">
        <f t="shared" si="18"/>
        <v>-543700</v>
      </c>
      <c r="S150" s="28">
        <f t="shared" si="19"/>
        <v>-12.481634527089073</v>
      </c>
      <c r="T150" s="24">
        <v>27.5</v>
      </c>
    </row>
    <row r="151" spans="1:22" ht="25.5" customHeight="1" x14ac:dyDescent="0.25">
      <c r="A151" t="s">
        <v>113</v>
      </c>
      <c r="B151" t="s">
        <v>114</v>
      </c>
      <c r="C151" s="13">
        <v>45377</v>
      </c>
      <c r="D151" s="5">
        <v>400000</v>
      </c>
      <c r="E151" t="s">
        <v>23</v>
      </c>
      <c r="F151" t="s">
        <v>24</v>
      </c>
      <c r="G151" s="5">
        <v>400000</v>
      </c>
      <c r="H151" s="5">
        <v>0</v>
      </c>
      <c r="I151" s="9">
        <f t="shared" si="16"/>
        <v>0</v>
      </c>
      <c r="J151" s="5">
        <v>0</v>
      </c>
      <c r="K151" s="5">
        <f>G151-0</f>
        <v>400000</v>
      </c>
      <c r="L151" s="5">
        <v>0</v>
      </c>
      <c r="M151" s="17">
        <v>90</v>
      </c>
      <c r="N151" s="20">
        <v>0</v>
      </c>
      <c r="O151" s="24">
        <v>0.31</v>
      </c>
      <c r="P151" s="24">
        <v>0.31</v>
      </c>
      <c r="Q151" s="5">
        <f t="shared" si="17"/>
        <v>4444.4444444444443</v>
      </c>
      <c r="R151" s="5">
        <f t="shared" si="18"/>
        <v>1290322.5806451612</v>
      </c>
      <c r="S151" s="28">
        <f t="shared" si="19"/>
        <v>29.621730501495897</v>
      </c>
      <c r="T151" s="24">
        <v>0</v>
      </c>
      <c r="U151" s="43" t="s">
        <v>262</v>
      </c>
    </row>
    <row r="152" spans="1:22" ht="29.25" customHeight="1" x14ac:dyDescent="0.25">
      <c r="A152" t="s">
        <v>129</v>
      </c>
      <c r="B152" t="s">
        <v>130</v>
      </c>
      <c r="C152" s="13">
        <v>44691</v>
      </c>
      <c r="D152" s="5">
        <v>125000</v>
      </c>
      <c r="E152" t="s">
        <v>23</v>
      </c>
      <c r="F152" t="s">
        <v>24</v>
      </c>
      <c r="G152" s="5">
        <v>125000</v>
      </c>
      <c r="H152" s="5">
        <v>0</v>
      </c>
      <c r="I152" s="9">
        <f t="shared" si="16"/>
        <v>0</v>
      </c>
      <c r="J152" s="5">
        <v>68520</v>
      </c>
      <c r="K152" s="5">
        <f>G152-0</f>
        <v>125000</v>
      </c>
      <c r="L152" s="5">
        <v>68520</v>
      </c>
      <c r="M152" s="17">
        <v>0</v>
      </c>
      <c r="N152" s="20">
        <v>0</v>
      </c>
      <c r="O152" s="24">
        <v>11.47</v>
      </c>
      <c r="P152" s="24">
        <v>0</v>
      </c>
      <c r="Q152" s="5" t="e">
        <f t="shared" si="17"/>
        <v>#DIV/0!</v>
      </c>
      <c r="R152" s="5">
        <f t="shared" si="18"/>
        <v>10897.99476896251</v>
      </c>
      <c r="S152" s="28">
        <f t="shared" si="19"/>
        <v>0.25018353464101262</v>
      </c>
      <c r="T152" s="24">
        <v>0</v>
      </c>
      <c r="U152" s="43" t="s">
        <v>263</v>
      </c>
    </row>
    <row r="153" spans="1:22" x14ac:dyDescent="0.25">
      <c r="A153" t="s">
        <v>159</v>
      </c>
      <c r="B153" t="s">
        <v>160</v>
      </c>
      <c r="C153" s="13">
        <v>45420</v>
      </c>
      <c r="D153" s="5">
        <v>80000</v>
      </c>
      <c r="E153" t="s">
        <v>23</v>
      </c>
      <c r="F153" t="s">
        <v>24</v>
      </c>
      <c r="G153" s="5">
        <v>80000</v>
      </c>
      <c r="H153" s="5">
        <v>0</v>
      </c>
      <c r="I153" s="9">
        <f t="shared" si="16"/>
        <v>0</v>
      </c>
      <c r="J153" s="5">
        <v>0</v>
      </c>
      <c r="K153" s="5">
        <f>G153-0</f>
        <v>80000</v>
      </c>
      <c r="L153" s="5">
        <v>0</v>
      </c>
      <c r="M153" s="17">
        <v>0</v>
      </c>
      <c r="N153" s="20">
        <v>0</v>
      </c>
      <c r="O153" s="24">
        <v>0</v>
      </c>
      <c r="P153" s="24">
        <v>0</v>
      </c>
      <c r="Q153" s="5" t="e">
        <f t="shared" si="17"/>
        <v>#DIV/0!</v>
      </c>
      <c r="R153" s="5" t="e">
        <f t="shared" si="18"/>
        <v>#DIV/0!</v>
      </c>
      <c r="S153" s="28" t="e">
        <f t="shared" si="19"/>
        <v>#DIV/0!</v>
      </c>
      <c r="T153" s="24">
        <v>0</v>
      </c>
      <c r="U153" s="43" t="s">
        <v>281</v>
      </c>
    </row>
    <row r="154" spans="1:22" x14ac:dyDescent="0.25">
      <c r="A154" t="s">
        <v>85</v>
      </c>
      <c r="B154" t="s">
        <v>86</v>
      </c>
      <c r="C154" s="13">
        <v>45435</v>
      </c>
      <c r="D154" s="5">
        <v>1300000</v>
      </c>
      <c r="E154" t="s">
        <v>23</v>
      </c>
      <c r="F154" t="s">
        <v>24</v>
      </c>
      <c r="G154" s="5">
        <v>1300000</v>
      </c>
      <c r="H154" s="5">
        <v>137400</v>
      </c>
      <c r="I154" s="9">
        <f t="shared" si="16"/>
        <v>10.569230769230769</v>
      </c>
      <c r="J154" s="47">
        <v>0</v>
      </c>
      <c r="K154" s="5">
        <f>G154-0</f>
        <v>1300000</v>
      </c>
      <c r="L154" s="5">
        <v>0</v>
      </c>
      <c r="M154" s="17">
        <v>147</v>
      </c>
      <c r="N154" s="20">
        <v>0</v>
      </c>
      <c r="O154" s="24">
        <v>2</v>
      </c>
      <c r="P154" s="24">
        <v>2</v>
      </c>
      <c r="Q154" s="5">
        <f t="shared" si="17"/>
        <v>8843.5374149659856</v>
      </c>
      <c r="R154" s="5">
        <f t="shared" si="18"/>
        <v>650000</v>
      </c>
      <c r="S154" s="28">
        <f t="shared" si="19"/>
        <v>14.921946740128558</v>
      </c>
      <c r="T154" s="24">
        <v>0</v>
      </c>
      <c r="U154" s="43" t="s">
        <v>283</v>
      </c>
    </row>
    <row r="155" spans="1:22" ht="30" x14ac:dyDescent="0.25">
      <c r="A155" t="s">
        <v>208</v>
      </c>
      <c r="B155" t="s">
        <v>209</v>
      </c>
      <c r="C155" s="13">
        <v>44792</v>
      </c>
      <c r="D155" s="5">
        <v>1200000</v>
      </c>
      <c r="E155" t="s">
        <v>23</v>
      </c>
      <c r="F155" t="s">
        <v>58</v>
      </c>
      <c r="G155" s="5">
        <v>1200000</v>
      </c>
      <c r="H155" s="5">
        <v>521200</v>
      </c>
      <c r="I155" s="9">
        <f t="shared" si="16"/>
        <v>43.433333333333337</v>
      </c>
      <c r="J155" s="5">
        <v>1432941</v>
      </c>
      <c r="K155" s="5">
        <f>G155-1006851</f>
        <v>193149</v>
      </c>
      <c r="L155" s="5">
        <v>426090</v>
      </c>
      <c r="M155" s="17">
        <v>0</v>
      </c>
      <c r="N155" s="20">
        <v>0</v>
      </c>
      <c r="O155" s="24">
        <v>121.74</v>
      </c>
      <c r="P155" s="24">
        <v>96</v>
      </c>
      <c r="Q155" s="50" t="e">
        <f t="shared" si="17"/>
        <v>#DIV/0!</v>
      </c>
      <c r="R155" s="5">
        <f t="shared" si="18"/>
        <v>1586.5697387875803</v>
      </c>
      <c r="S155" s="28">
        <f t="shared" si="19"/>
        <v>3.6422629448750694E-2</v>
      </c>
      <c r="T155" s="24">
        <v>0</v>
      </c>
      <c r="U155" s="43" t="s">
        <v>210</v>
      </c>
      <c r="V155" t="s">
        <v>284</v>
      </c>
    </row>
    <row r="156" spans="1:22" ht="30" x14ac:dyDescent="0.25">
      <c r="A156" t="s">
        <v>167</v>
      </c>
      <c r="B156" t="s">
        <v>168</v>
      </c>
      <c r="C156" s="13">
        <v>45153</v>
      </c>
      <c r="D156" s="5">
        <v>35000</v>
      </c>
      <c r="E156" t="s">
        <v>23</v>
      </c>
      <c r="F156" t="s">
        <v>24</v>
      </c>
      <c r="G156" s="5">
        <v>35000</v>
      </c>
      <c r="H156" s="5">
        <v>67500</v>
      </c>
      <c r="I156" s="9">
        <f t="shared" si="16"/>
        <v>192.85714285714286</v>
      </c>
      <c r="J156" s="5">
        <v>96530</v>
      </c>
      <c r="K156" s="5">
        <f>G156-0</f>
        <v>35000</v>
      </c>
      <c r="L156" s="5">
        <v>96530</v>
      </c>
      <c r="M156" s="17">
        <v>0</v>
      </c>
      <c r="N156" s="20">
        <v>0</v>
      </c>
      <c r="O156" s="24">
        <v>8.64</v>
      </c>
      <c r="P156" s="24">
        <v>7.15</v>
      </c>
      <c r="Q156" s="50" t="e">
        <f t="shared" si="17"/>
        <v>#DIV/0!</v>
      </c>
      <c r="R156" s="5">
        <f t="shared" si="18"/>
        <v>4050.9259259259256</v>
      </c>
      <c r="S156" s="28">
        <f t="shared" si="19"/>
        <v>9.2996462945957883E-2</v>
      </c>
      <c r="T156" s="24">
        <v>0</v>
      </c>
      <c r="U156" s="43" t="s">
        <v>286</v>
      </c>
    </row>
    <row r="158" spans="1:22" x14ac:dyDescent="0.25">
      <c r="A158" t="s">
        <v>285</v>
      </c>
    </row>
  </sheetData>
  <conditionalFormatting sqref="A132:U151 A2:U2 A124:U124 A4:U122">
    <cfRule type="expression" dxfId="85" priority="45" stopIfTrue="1">
      <formula>MOD(ROW(),4)&gt;1</formula>
    </cfRule>
    <cfRule type="expression" dxfId="84" priority="46" stopIfTrue="1">
      <formula>MOD(ROW(),4)&lt;2</formula>
    </cfRule>
  </conditionalFormatting>
  <conditionalFormatting sqref="A152:U152">
    <cfRule type="expression" dxfId="83" priority="13" stopIfTrue="1">
      <formula>MOD(ROW(),4)&gt;1</formula>
    </cfRule>
    <cfRule type="expression" dxfId="82" priority="14" stopIfTrue="1">
      <formula>MOD(ROW(),4)&lt;2</formula>
    </cfRule>
  </conditionalFormatting>
  <conditionalFormatting sqref="A3:U3">
    <cfRule type="expression" dxfId="81" priority="11" stopIfTrue="1">
      <formula>MOD(ROW(),4)&gt;1</formula>
    </cfRule>
    <cfRule type="expression" dxfId="80" priority="12" stopIfTrue="1">
      <formula>MOD(ROW(),4)&lt;2</formula>
    </cfRule>
  </conditionalFormatting>
  <conditionalFormatting sqref="A153:U153">
    <cfRule type="expression" dxfId="79" priority="9" stopIfTrue="1">
      <formula>MOD(ROW(),4)&gt;1</formula>
    </cfRule>
    <cfRule type="expression" dxfId="78" priority="10" stopIfTrue="1">
      <formula>MOD(ROW(),4)&lt;2</formula>
    </cfRule>
  </conditionalFormatting>
  <conditionalFormatting sqref="A123:U123">
    <cfRule type="expression" dxfId="77" priority="7" stopIfTrue="1">
      <formula>MOD(ROW(),4)&gt;1</formula>
    </cfRule>
    <cfRule type="expression" dxfId="76" priority="8" stopIfTrue="1">
      <formula>MOD(ROW(),4)&lt;2</formula>
    </cfRule>
  </conditionalFormatting>
  <conditionalFormatting sqref="A154:U154">
    <cfRule type="expression" dxfId="75" priority="5" stopIfTrue="1">
      <formula>MOD(ROW(),4)&gt;1</formula>
    </cfRule>
    <cfRule type="expression" dxfId="74" priority="6" stopIfTrue="1">
      <formula>MOD(ROW(),4)&lt;2</formula>
    </cfRule>
  </conditionalFormatting>
  <conditionalFormatting sqref="A155:U155">
    <cfRule type="expression" dxfId="73" priority="3" stopIfTrue="1">
      <formula>MOD(ROW(),4)&gt;1</formula>
    </cfRule>
    <cfRule type="expression" dxfId="72" priority="4" stopIfTrue="1">
      <formula>MOD(ROW(),4)&lt;2</formula>
    </cfRule>
  </conditionalFormatting>
  <conditionalFormatting sqref="A156:U156">
    <cfRule type="expression" dxfId="71" priority="1" stopIfTrue="1">
      <formula>MOD(ROW(),4)&gt;1</formula>
    </cfRule>
    <cfRule type="expression" dxfId="70" priority="2" stopIfTrue="1">
      <formula>MOD(ROW(),4)&lt;2</formula>
    </cfRule>
  </conditionalFormatting>
  <pageMargins left="0.2" right="0.2" top="0.75" bottom="0.75" header="0.3" footer="0.3"/>
  <pageSetup paperSize="5" scale="70" orientation="landscape" r:id="rId1"/>
  <headerFooter>
    <oddHeader xml:space="preserve">&amp;C2024-2025 COMMERCIAL
LAND ANALYSIS
ALL SALES
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A16" sqref="A16"/>
    </sheetView>
  </sheetViews>
  <sheetFormatPr defaultRowHeight="15" x14ac:dyDescent="0.25"/>
  <cols>
    <col min="1" max="1" width="16.85546875" bestFit="1" customWidth="1"/>
    <col min="2" max="2" width="21.7109375" bestFit="1" customWidth="1"/>
    <col min="3" max="3" width="8.7109375" bestFit="1" customWidth="1"/>
    <col min="4" max="5" width="11.85546875" bestFit="1" customWidth="1"/>
    <col min="6" max="6" width="10.85546875" bestFit="1" customWidth="1"/>
    <col min="7" max="7" width="6.28515625" bestFit="1" customWidth="1"/>
    <col min="8" max="9" width="10.85546875" bestFit="1" customWidth="1"/>
    <col min="10" max="10" width="9.28515625" bestFit="1" customWidth="1"/>
    <col min="11" max="11" width="7.85546875" bestFit="1" customWidth="1"/>
    <col min="12" max="12" width="9.140625" bestFit="1" customWidth="1"/>
    <col min="13" max="13" width="8.28515625" bestFit="1" customWidth="1"/>
    <col min="14" max="14" width="22" customWidth="1"/>
  </cols>
  <sheetData>
    <row r="1" spans="1:32" ht="18.75" x14ac:dyDescent="0.3">
      <c r="A1" s="74" t="s">
        <v>320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4" spans="1:32" s="43" customFormat="1" ht="51.75" customHeight="1" x14ac:dyDescent="0.25">
      <c r="A4" s="33" t="s">
        <v>0</v>
      </c>
      <c r="B4" s="33" t="s">
        <v>1</v>
      </c>
      <c r="C4" s="35" t="s">
        <v>2</v>
      </c>
      <c r="D4" s="36" t="s">
        <v>3</v>
      </c>
      <c r="E4" s="36" t="s">
        <v>6</v>
      </c>
      <c r="F4" s="36" t="s">
        <v>7</v>
      </c>
      <c r="G4" s="37" t="s">
        <v>8</v>
      </c>
      <c r="H4" s="36" t="s">
        <v>9</v>
      </c>
      <c r="I4" s="36" t="s">
        <v>10</v>
      </c>
      <c r="J4" s="36" t="s">
        <v>11</v>
      </c>
      <c r="K4" s="38" t="s">
        <v>12</v>
      </c>
      <c r="L4" s="39" t="s">
        <v>13</v>
      </c>
      <c r="M4" s="36" t="s">
        <v>16</v>
      </c>
      <c r="N4" s="42" t="s">
        <v>290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x14ac:dyDescent="0.25">
      <c r="A5" t="s">
        <v>303</v>
      </c>
      <c r="B5" t="s">
        <v>318</v>
      </c>
      <c r="C5" s="13">
        <v>45315</v>
      </c>
      <c r="D5" s="5">
        <v>149000</v>
      </c>
      <c r="E5" s="5">
        <v>149000</v>
      </c>
      <c r="F5" s="5">
        <v>60900</v>
      </c>
      <c r="G5" s="9">
        <f t="shared" ref="G5" si="0">F5/E5*100</f>
        <v>40.872483221476507</v>
      </c>
      <c r="H5" s="5">
        <v>203330</v>
      </c>
      <c r="I5" s="5">
        <f>E5-97413</f>
        <v>51587</v>
      </c>
      <c r="J5" s="5">
        <v>95000</v>
      </c>
      <c r="K5" s="17">
        <v>92</v>
      </c>
      <c r="L5" s="20">
        <v>130</v>
      </c>
      <c r="M5" s="5">
        <f>I5/K5</f>
        <v>560.72826086956525</v>
      </c>
    </row>
    <row r="6" spans="1:32" x14ac:dyDescent="0.25">
      <c r="A6" t="s">
        <v>206</v>
      </c>
      <c r="B6" t="s">
        <v>318</v>
      </c>
      <c r="C6" s="13">
        <v>44768</v>
      </c>
      <c r="D6" s="5">
        <v>65000</v>
      </c>
      <c r="E6" s="5">
        <v>65000</v>
      </c>
      <c r="F6" s="5">
        <v>29800</v>
      </c>
      <c r="G6" s="9">
        <f t="shared" ref="G6" si="1">F6/E6*100</f>
        <v>45.846153846153847</v>
      </c>
      <c r="H6" s="5">
        <v>85089</v>
      </c>
      <c r="I6" s="5">
        <f>E6-57789</f>
        <v>7211</v>
      </c>
      <c r="J6" s="5">
        <v>27300</v>
      </c>
      <c r="K6" s="17">
        <v>26</v>
      </c>
      <c r="L6" s="20">
        <v>62</v>
      </c>
      <c r="M6" s="5">
        <f>I6/K6</f>
        <v>277.34615384615387</v>
      </c>
    </row>
    <row r="7" spans="1:32" x14ac:dyDescent="0.25">
      <c r="C7" s="13"/>
      <c r="D7" s="5"/>
      <c r="E7" s="5"/>
      <c r="F7" s="5"/>
      <c r="G7" s="9"/>
      <c r="H7" s="5"/>
      <c r="I7" s="5">
        <f>SUM(I5:I6)</f>
        <v>58798</v>
      </c>
      <c r="J7" s="5"/>
      <c r="K7" s="17">
        <f>SUM(K5:K6)</f>
        <v>118</v>
      </c>
      <c r="L7" s="20"/>
      <c r="M7" s="5" t="s">
        <v>288</v>
      </c>
    </row>
    <row r="8" spans="1:32" x14ac:dyDescent="0.25">
      <c r="C8" s="72"/>
      <c r="I8" s="5" t="s">
        <v>288</v>
      </c>
      <c r="K8" s="17" t="s">
        <v>288</v>
      </c>
      <c r="L8" t="s">
        <v>319</v>
      </c>
      <c r="M8" s="73">
        <v>400</v>
      </c>
    </row>
    <row r="9" spans="1:32" x14ac:dyDescent="0.25">
      <c r="A9" s="60"/>
      <c r="B9" s="60"/>
      <c r="C9" s="71"/>
      <c r="D9" s="48"/>
      <c r="M9" s="48"/>
    </row>
    <row r="10" spans="1:32" x14ac:dyDescent="0.25">
      <c r="A10" s="75" t="s">
        <v>321</v>
      </c>
      <c r="B10" s="75"/>
      <c r="C10" s="71"/>
      <c r="D10" s="48"/>
      <c r="M10" s="48"/>
    </row>
    <row r="11" spans="1:32" x14ac:dyDescent="0.25">
      <c r="A11" s="60"/>
      <c r="B11" s="60"/>
      <c r="C11" s="71"/>
      <c r="D11" s="48"/>
      <c r="M11" s="48"/>
    </row>
    <row r="12" spans="1:32" x14ac:dyDescent="0.25">
      <c r="A12" s="60"/>
      <c r="B12" s="60"/>
      <c r="C12" s="71"/>
      <c r="D12" s="48"/>
      <c r="M12" s="48"/>
    </row>
    <row r="13" spans="1:32" x14ac:dyDescent="0.25">
      <c r="A13" s="60"/>
      <c r="B13" s="60"/>
      <c r="C13" s="71"/>
      <c r="D13" s="48"/>
      <c r="M13" s="48"/>
    </row>
    <row r="14" spans="1:32" x14ac:dyDescent="0.25">
      <c r="A14" s="60"/>
      <c r="B14" s="60"/>
      <c r="C14" s="71"/>
      <c r="D14" s="48"/>
      <c r="M14" s="48"/>
    </row>
    <row r="15" spans="1:32" x14ac:dyDescent="0.25">
      <c r="A15" s="60"/>
      <c r="B15" s="60"/>
      <c r="C15" s="72"/>
      <c r="D15" s="48"/>
      <c r="M15" s="48"/>
    </row>
  </sheetData>
  <mergeCells count="2">
    <mergeCell ref="A1:M1"/>
    <mergeCell ref="A10:B10"/>
  </mergeCells>
  <conditionalFormatting sqref="A5:M7">
    <cfRule type="expression" dxfId="69" priority="37" stopIfTrue="1">
      <formula>MOD(ROW(),4)&gt;1</formula>
    </cfRule>
    <cfRule type="expression" dxfId="68" priority="38" stopIfTrue="1">
      <formula>MOD(ROW(),4)&lt;2</formula>
    </cfRule>
  </conditionalFormatting>
  <pageMargins left="0.2" right="0.2" top="0.75" bottom="0.75" header="0.3" footer="0.3"/>
  <pageSetup paperSize="5" scale="70" orientation="landscape" r:id="rId1"/>
  <headerFooter>
    <oddHeader>&amp;C2024-2025 COMMERCIAL
LAND ANALYSIS
CITY OF LAPEER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workbookViewId="0">
      <selection activeCell="R14" sqref="R14"/>
    </sheetView>
  </sheetViews>
  <sheetFormatPr defaultRowHeight="15" x14ac:dyDescent="0.25"/>
  <cols>
    <col min="1" max="1" width="16.5703125" bestFit="1" customWidth="1"/>
    <col min="2" max="2" width="14.28515625" bestFit="1" customWidth="1"/>
    <col min="3" max="3" width="8.7109375" bestFit="1" customWidth="1"/>
    <col min="4" max="4" width="10.85546875" bestFit="1" customWidth="1"/>
    <col min="5" max="5" width="4.140625" bestFit="1" customWidth="1"/>
    <col min="6" max="6" width="19.42578125" customWidth="1"/>
    <col min="7" max="7" width="10.85546875" bestFit="1" customWidth="1"/>
    <col min="8" max="8" width="9.28515625" bestFit="1" customWidth="1"/>
    <col min="9" max="9" width="7.28515625" bestFit="1" customWidth="1"/>
    <col min="10" max="11" width="10.85546875" bestFit="1" customWidth="1"/>
    <col min="12" max="12" width="9.28515625" bestFit="1" customWidth="1"/>
    <col min="13" max="13" width="7.85546875" bestFit="1" customWidth="1"/>
    <col min="14" max="14" width="6.28515625" bestFit="1" customWidth="1"/>
    <col min="15" max="15" width="11.5703125" bestFit="1" customWidth="1"/>
    <col min="16" max="16" width="5.28515625" bestFit="1" customWidth="1"/>
    <col min="17" max="17" width="7.28515625" bestFit="1" customWidth="1"/>
    <col min="18" max="18" width="10.85546875" bestFit="1" customWidth="1"/>
    <col min="19" max="19" width="7.7109375" bestFit="1" customWidth="1"/>
    <col min="20" max="20" width="7.28515625" bestFit="1" customWidth="1"/>
    <col min="21" max="21" width="18.7109375" customWidth="1"/>
  </cols>
  <sheetData>
    <row r="1" spans="1:41" s="43" customFormat="1" ht="51.75" customHeight="1" x14ac:dyDescent="0.3">
      <c r="A1" s="33" t="s">
        <v>0</v>
      </c>
      <c r="B1" s="33" t="s">
        <v>1</v>
      </c>
      <c r="C1" s="35" t="s">
        <v>2</v>
      </c>
      <c r="D1" s="36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7" t="s">
        <v>8</v>
      </c>
      <c r="J1" s="36" t="s">
        <v>9</v>
      </c>
      <c r="K1" s="36" t="s">
        <v>10</v>
      </c>
      <c r="L1" s="36" t="s">
        <v>11</v>
      </c>
      <c r="M1" s="38" t="s">
        <v>12</v>
      </c>
      <c r="N1" s="39" t="s">
        <v>13</v>
      </c>
      <c r="O1" s="40" t="s">
        <v>14</v>
      </c>
      <c r="P1" s="40" t="s">
        <v>15</v>
      </c>
      <c r="Q1" s="36" t="s">
        <v>16</v>
      </c>
      <c r="R1" s="36" t="s">
        <v>17</v>
      </c>
      <c r="S1" s="41" t="s">
        <v>18</v>
      </c>
      <c r="T1" s="40" t="s">
        <v>19</v>
      </c>
      <c r="U1" s="33" t="s">
        <v>20</v>
      </c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14.45" x14ac:dyDescent="0.3">
      <c r="A2" t="s">
        <v>153</v>
      </c>
      <c r="B2" t="s">
        <v>154</v>
      </c>
      <c r="C2" s="13">
        <v>45029</v>
      </c>
      <c r="D2" s="5">
        <v>295000</v>
      </c>
      <c r="E2" t="s">
        <v>23</v>
      </c>
      <c r="F2" t="s">
        <v>24</v>
      </c>
      <c r="G2" s="5">
        <v>295000</v>
      </c>
      <c r="H2" s="5">
        <v>143900</v>
      </c>
      <c r="I2" s="9">
        <f t="shared" ref="I2:I10" si="0">H2/G2*100</f>
        <v>48.779661016949156</v>
      </c>
      <c r="J2" s="5">
        <v>32522</v>
      </c>
      <c r="K2" s="5">
        <f>G2-200000</f>
        <v>95000</v>
      </c>
      <c r="L2" s="5">
        <v>32522</v>
      </c>
      <c r="M2" s="17">
        <v>75</v>
      </c>
      <c r="N2" s="20">
        <v>0</v>
      </c>
      <c r="O2" s="24">
        <v>0.14000000000000001</v>
      </c>
      <c r="P2" s="24">
        <v>0.14000000000000001</v>
      </c>
      <c r="Q2" s="5">
        <f t="shared" ref="Q2:Q10" si="1">K2/M2</f>
        <v>1266.6666666666667</v>
      </c>
      <c r="R2" s="5">
        <f t="shared" ref="R2:R10" si="2">K2/O2</f>
        <v>678571.42857142852</v>
      </c>
      <c r="S2" s="28">
        <f t="shared" ref="S2:S10" si="3">K2/O2/43560</f>
        <v>15.577856486947395</v>
      </c>
      <c r="T2" s="24">
        <v>0</v>
      </c>
      <c r="U2" s="43"/>
    </row>
    <row r="3" spans="1:41" ht="14.45" x14ac:dyDescent="0.3">
      <c r="A3" t="s">
        <v>155</v>
      </c>
      <c r="B3" t="s">
        <v>156</v>
      </c>
      <c r="C3" s="13">
        <v>44669</v>
      </c>
      <c r="D3" s="5">
        <v>68000</v>
      </c>
      <c r="E3" t="s">
        <v>23</v>
      </c>
      <c r="F3" t="s">
        <v>24</v>
      </c>
      <c r="G3" s="5">
        <v>68000</v>
      </c>
      <c r="H3" s="5">
        <v>32400</v>
      </c>
      <c r="I3" s="9">
        <f t="shared" si="0"/>
        <v>47.647058823529406</v>
      </c>
      <c r="J3" s="5">
        <v>70796</v>
      </c>
      <c r="K3" s="5">
        <f>G3-50096</f>
        <v>17904</v>
      </c>
      <c r="L3" s="5">
        <v>20700</v>
      </c>
      <c r="M3" s="17">
        <v>23</v>
      </c>
      <c r="N3" s="20">
        <v>125</v>
      </c>
      <c r="O3" s="24">
        <v>6.6000000000000003E-2</v>
      </c>
      <c r="P3" s="24">
        <v>6.6000000000000003E-2</v>
      </c>
      <c r="Q3" s="5">
        <f t="shared" si="1"/>
        <v>778.43478260869563</v>
      </c>
      <c r="R3" s="5">
        <f t="shared" si="2"/>
        <v>271272.72727272724</v>
      </c>
      <c r="S3" s="28">
        <f t="shared" si="3"/>
        <v>6.2275649052508548</v>
      </c>
      <c r="T3" s="24">
        <v>23</v>
      </c>
      <c r="U3" s="43"/>
    </row>
    <row r="4" spans="1:41" ht="14.45" x14ac:dyDescent="0.3">
      <c r="A4" t="s">
        <v>163</v>
      </c>
      <c r="B4" t="s">
        <v>164</v>
      </c>
      <c r="C4" s="13">
        <v>44774</v>
      </c>
      <c r="D4" s="5">
        <v>2690000</v>
      </c>
      <c r="E4" t="s">
        <v>23</v>
      </c>
      <c r="F4" t="s">
        <v>24</v>
      </c>
      <c r="G4" s="5">
        <v>2690000</v>
      </c>
      <c r="H4" s="5">
        <v>983600</v>
      </c>
      <c r="I4" s="9">
        <f t="shared" si="0"/>
        <v>36.565055762081784</v>
      </c>
      <c r="J4" s="5">
        <v>2646474</v>
      </c>
      <c r="K4" s="5">
        <f>G4-2261274</f>
        <v>428726</v>
      </c>
      <c r="L4" s="5">
        <v>385200</v>
      </c>
      <c r="M4" s="17">
        <v>428</v>
      </c>
      <c r="N4" s="20">
        <v>221</v>
      </c>
      <c r="O4" s="24">
        <v>2.1709999999999998</v>
      </c>
      <c r="P4" s="24">
        <v>2.1709999999999998</v>
      </c>
      <c r="Q4" s="5">
        <f t="shared" si="1"/>
        <v>1001.6962616822429</v>
      </c>
      <c r="R4" s="5">
        <f t="shared" si="2"/>
        <v>197478.58129894061</v>
      </c>
      <c r="S4" s="28">
        <f t="shared" si="3"/>
        <v>4.5334844191675989</v>
      </c>
      <c r="T4" s="24">
        <v>428</v>
      </c>
      <c r="U4" s="43"/>
    </row>
    <row r="5" spans="1:41" ht="14.45" x14ac:dyDescent="0.3">
      <c r="A5" t="s">
        <v>169</v>
      </c>
      <c r="B5" t="s">
        <v>170</v>
      </c>
      <c r="C5" s="13">
        <v>44735</v>
      </c>
      <c r="D5" s="5">
        <v>780000</v>
      </c>
      <c r="E5" t="s">
        <v>23</v>
      </c>
      <c r="F5" t="s">
        <v>24</v>
      </c>
      <c r="G5" s="5">
        <v>780000</v>
      </c>
      <c r="H5" s="5">
        <v>173300</v>
      </c>
      <c r="I5" s="9">
        <f t="shared" si="0"/>
        <v>22.217948717948719</v>
      </c>
      <c r="J5" s="5">
        <v>545516</v>
      </c>
      <c r="K5" s="5">
        <f>G5-574016</f>
        <v>205984</v>
      </c>
      <c r="L5" s="5">
        <v>115500</v>
      </c>
      <c r="M5" s="17">
        <v>165</v>
      </c>
      <c r="N5" s="20">
        <v>248</v>
      </c>
      <c r="O5" s="24">
        <v>0.93899999999999995</v>
      </c>
      <c r="P5" s="24">
        <v>0.93899999999999995</v>
      </c>
      <c r="Q5" s="5">
        <f t="shared" si="1"/>
        <v>1248.3878787878789</v>
      </c>
      <c r="R5" s="5">
        <f t="shared" si="2"/>
        <v>219365.28221512248</v>
      </c>
      <c r="S5" s="28">
        <f t="shared" si="3"/>
        <v>5.0359339351497354</v>
      </c>
      <c r="T5" s="24">
        <v>165</v>
      </c>
      <c r="U5" s="43"/>
    </row>
    <row r="6" spans="1:41" ht="14.45" x14ac:dyDescent="0.3">
      <c r="A6" t="s">
        <v>174</v>
      </c>
      <c r="B6" t="s">
        <v>175</v>
      </c>
      <c r="C6" s="13">
        <v>44818</v>
      </c>
      <c r="D6" s="5">
        <v>325000</v>
      </c>
      <c r="E6" t="s">
        <v>23</v>
      </c>
      <c r="F6" t="s">
        <v>24</v>
      </c>
      <c r="G6" s="5">
        <v>325000</v>
      </c>
      <c r="H6" s="5">
        <v>318800</v>
      </c>
      <c r="I6" s="9">
        <f t="shared" si="0"/>
        <v>98.092307692307685</v>
      </c>
      <c r="J6" s="5">
        <v>270000</v>
      </c>
      <c r="K6" s="5">
        <f>G6-0</f>
        <v>325000</v>
      </c>
      <c r="L6" s="5">
        <v>270000</v>
      </c>
      <c r="M6" s="17">
        <v>300</v>
      </c>
      <c r="N6" s="20">
        <v>632</v>
      </c>
      <c r="O6" s="24">
        <v>4.3529999999999998</v>
      </c>
      <c r="P6" s="24">
        <v>4.3529999999999998</v>
      </c>
      <c r="Q6" s="5">
        <f t="shared" si="1"/>
        <v>1083.3333333333333</v>
      </c>
      <c r="R6" s="5">
        <f t="shared" si="2"/>
        <v>74661.153227659088</v>
      </c>
      <c r="S6" s="28">
        <f t="shared" si="3"/>
        <v>1.7139842338764713</v>
      </c>
      <c r="T6" s="24">
        <v>300</v>
      </c>
      <c r="U6" s="43"/>
    </row>
    <row r="7" spans="1:41" ht="14.45" x14ac:dyDescent="0.3">
      <c r="A7" t="s">
        <v>176</v>
      </c>
      <c r="B7" t="s">
        <v>177</v>
      </c>
      <c r="C7" s="13">
        <v>44816</v>
      </c>
      <c r="D7" s="5">
        <v>1525000</v>
      </c>
      <c r="E7" t="s">
        <v>23</v>
      </c>
      <c r="F7" t="s">
        <v>24</v>
      </c>
      <c r="G7" s="5">
        <v>1525000</v>
      </c>
      <c r="H7" s="5">
        <v>855100</v>
      </c>
      <c r="I7" s="9">
        <f t="shared" si="0"/>
        <v>56.072131147540979</v>
      </c>
      <c r="J7" s="5">
        <v>1360156</v>
      </c>
      <c r="K7" s="5">
        <f>G7-1351997</f>
        <v>173003</v>
      </c>
      <c r="L7" s="5">
        <v>318859</v>
      </c>
      <c r="M7" s="17">
        <v>163</v>
      </c>
      <c r="N7" s="20">
        <v>846</v>
      </c>
      <c r="O7" s="24">
        <v>3.165</v>
      </c>
      <c r="P7" s="24">
        <v>0</v>
      </c>
      <c r="Q7" s="5">
        <f t="shared" si="1"/>
        <v>1061.3680981595091</v>
      </c>
      <c r="R7" s="5">
        <f t="shared" si="2"/>
        <v>54661.295418641392</v>
      </c>
      <c r="S7" s="28">
        <f t="shared" si="3"/>
        <v>1.2548506753590769</v>
      </c>
      <c r="T7" s="24">
        <v>163</v>
      </c>
      <c r="U7" s="43"/>
    </row>
    <row r="8" spans="1:41" ht="14.45" x14ac:dyDescent="0.3">
      <c r="A8" t="s">
        <v>183</v>
      </c>
      <c r="B8" t="s">
        <v>184</v>
      </c>
      <c r="C8" s="13">
        <v>45420</v>
      </c>
      <c r="D8" s="5">
        <v>550000</v>
      </c>
      <c r="E8" t="s">
        <v>23</v>
      </c>
      <c r="F8" t="s">
        <v>24</v>
      </c>
      <c r="G8" s="5">
        <v>550000</v>
      </c>
      <c r="H8" s="5">
        <v>87600</v>
      </c>
      <c r="I8" s="9">
        <f t="shared" si="0"/>
        <v>15.927272727272726</v>
      </c>
      <c r="J8" s="5">
        <v>135965</v>
      </c>
      <c r="K8" s="5">
        <f>G8-402422</f>
        <v>147578</v>
      </c>
      <c r="L8" s="5">
        <v>225000</v>
      </c>
      <c r="M8" s="17">
        <v>120</v>
      </c>
      <c r="N8" s="20">
        <v>0</v>
      </c>
      <c r="O8" s="24">
        <v>0.36</v>
      </c>
      <c r="P8" s="24">
        <v>0.36</v>
      </c>
      <c r="Q8" s="58">
        <f t="shared" si="1"/>
        <v>1229.8166666666666</v>
      </c>
      <c r="R8" s="5">
        <f t="shared" si="2"/>
        <v>409938.88888888888</v>
      </c>
      <c r="S8" s="28">
        <f t="shared" si="3"/>
        <v>9.4109019487807366</v>
      </c>
      <c r="T8" s="24">
        <v>0</v>
      </c>
      <c r="U8" s="43"/>
    </row>
    <row r="9" spans="1:41" ht="14.45" x14ac:dyDescent="0.3">
      <c r="A9" t="s">
        <v>187</v>
      </c>
      <c r="B9" t="s">
        <v>188</v>
      </c>
      <c r="C9" s="13">
        <v>45331</v>
      </c>
      <c r="D9" s="5">
        <v>725000</v>
      </c>
      <c r="E9" t="s">
        <v>23</v>
      </c>
      <c r="F9" t="s">
        <v>24</v>
      </c>
      <c r="G9" s="5">
        <v>725000</v>
      </c>
      <c r="H9" s="5">
        <v>118100</v>
      </c>
      <c r="I9" s="9">
        <f t="shared" si="0"/>
        <v>16.289655172413795</v>
      </c>
      <c r="J9" s="5">
        <v>161700</v>
      </c>
      <c r="K9" s="5">
        <f>G9-533473</f>
        <v>191527</v>
      </c>
      <c r="L9" s="5">
        <v>161700</v>
      </c>
      <c r="M9" s="17">
        <v>157</v>
      </c>
      <c r="N9" s="20">
        <v>0</v>
      </c>
      <c r="O9" s="24">
        <v>0.42</v>
      </c>
      <c r="P9" s="24">
        <v>0.74</v>
      </c>
      <c r="Q9" s="58">
        <f t="shared" si="1"/>
        <v>1219.9171974522294</v>
      </c>
      <c r="R9" s="5">
        <f t="shared" si="2"/>
        <v>456016.66666666669</v>
      </c>
      <c r="S9" s="28">
        <f t="shared" si="3"/>
        <v>10.468702173247628</v>
      </c>
      <c r="T9" s="24">
        <v>0</v>
      </c>
      <c r="U9" s="43"/>
    </row>
    <row r="10" spans="1:41" ht="14.45" x14ac:dyDescent="0.3">
      <c r="A10" t="s">
        <v>189</v>
      </c>
      <c r="B10" t="s">
        <v>190</v>
      </c>
      <c r="C10" s="13">
        <v>45114</v>
      </c>
      <c r="D10" s="5">
        <v>1210000</v>
      </c>
      <c r="E10" t="s">
        <v>23</v>
      </c>
      <c r="F10" t="s">
        <v>24</v>
      </c>
      <c r="G10" s="5">
        <v>1210000</v>
      </c>
      <c r="H10" s="5">
        <v>219700</v>
      </c>
      <c r="I10" s="9">
        <f t="shared" si="0"/>
        <v>18.15702479338843</v>
      </c>
      <c r="J10" s="5">
        <v>261459</v>
      </c>
      <c r="K10" s="5">
        <f>G10-795566</f>
        <v>414434</v>
      </c>
      <c r="L10" s="5">
        <v>261459</v>
      </c>
      <c r="M10" s="17">
        <v>333</v>
      </c>
      <c r="N10" s="20">
        <v>0</v>
      </c>
      <c r="O10" s="24">
        <v>0.64</v>
      </c>
      <c r="P10" s="24">
        <v>0.64</v>
      </c>
      <c r="Q10" s="58">
        <f t="shared" si="1"/>
        <v>1244.5465465465466</v>
      </c>
      <c r="R10" s="5">
        <f t="shared" si="2"/>
        <v>647553.125</v>
      </c>
      <c r="S10" s="28">
        <f t="shared" si="3"/>
        <v>14.865774219467401</v>
      </c>
      <c r="T10" s="24">
        <v>0</v>
      </c>
      <c r="U10" s="43"/>
    </row>
    <row r="11" spans="1:41" ht="14.45" x14ac:dyDescent="0.3">
      <c r="C11" s="13"/>
      <c r="D11" s="5"/>
      <c r="G11" s="5"/>
      <c r="H11" s="5"/>
      <c r="I11" s="9"/>
      <c r="J11" s="5"/>
      <c r="K11" s="5">
        <f>SUM(K2:K10)</f>
        <v>1999156</v>
      </c>
      <c r="L11" s="5"/>
      <c r="M11" s="17">
        <f>SUM(M2:M10)</f>
        <v>1764</v>
      </c>
      <c r="N11" s="20"/>
      <c r="O11" s="54"/>
      <c r="P11" s="24"/>
      <c r="Q11" s="50"/>
      <c r="R11" s="5"/>
      <c r="S11" s="28"/>
      <c r="T11" s="24"/>
      <c r="U11" s="43"/>
    </row>
    <row r="13" spans="1:41" ht="14.45" x14ac:dyDescent="0.3">
      <c r="L13" s="34" t="s">
        <v>287</v>
      </c>
      <c r="M13" s="34"/>
      <c r="N13" s="34"/>
      <c r="O13" s="59">
        <f>K11/M11</f>
        <v>1133.3083900226757</v>
      </c>
      <c r="P13" s="34"/>
      <c r="Q13" s="34" t="s">
        <v>291</v>
      </c>
      <c r="R13" s="59">
        <v>1130</v>
      </c>
      <c r="S13" s="34" t="s">
        <v>292</v>
      </c>
      <c r="T13" s="34"/>
    </row>
    <row r="14" spans="1:41" ht="14.45" x14ac:dyDescent="0.3">
      <c r="Q14" t="s">
        <v>296</v>
      </c>
    </row>
    <row r="16" spans="1:41" ht="14.45" x14ac:dyDescent="0.3">
      <c r="A16" t="s">
        <v>161</v>
      </c>
      <c r="B16" t="s">
        <v>162</v>
      </c>
      <c r="C16" s="13">
        <v>44831</v>
      </c>
      <c r="D16" s="5">
        <v>2200000</v>
      </c>
      <c r="E16" t="s">
        <v>23</v>
      </c>
      <c r="F16" t="s">
        <v>24</v>
      </c>
      <c r="G16" s="5">
        <v>2200000</v>
      </c>
      <c r="H16" s="5">
        <v>277600</v>
      </c>
      <c r="I16" s="9">
        <f t="shared" ref="I16:I20" si="4">H16/G16*100</f>
        <v>12.618181818181817</v>
      </c>
      <c r="J16" s="5">
        <v>763449</v>
      </c>
      <c r="K16" s="5">
        <f>G16-623919</f>
        <v>1576081</v>
      </c>
      <c r="L16" s="5">
        <v>139530</v>
      </c>
      <c r="M16" s="57">
        <v>225</v>
      </c>
      <c r="N16" s="20">
        <v>0</v>
      </c>
      <c r="O16" s="24">
        <v>1.07</v>
      </c>
      <c r="P16" s="24">
        <v>1.07</v>
      </c>
      <c r="Q16" s="50">
        <f t="shared" ref="Q16:Q20" si="5">K16/M16</f>
        <v>7004.804444444444</v>
      </c>
      <c r="R16" s="5">
        <f t="shared" ref="R16:R20" si="6">K16/O16</f>
        <v>1472972.8971962617</v>
      </c>
      <c r="S16" s="28">
        <f t="shared" ref="S16:S20" si="7">K16/O16/43560</f>
        <v>33.814804802485348</v>
      </c>
      <c r="T16" s="24">
        <v>0</v>
      </c>
      <c r="U16" s="43"/>
    </row>
    <row r="17" spans="1:21" ht="14.45" x14ac:dyDescent="0.3">
      <c r="A17" t="s">
        <v>165</v>
      </c>
      <c r="B17" t="s">
        <v>166</v>
      </c>
      <c r="C17" s="13">
        <v>45244</v>
      </c>
      <c r="D17" s="5">
        <v>992785</v>
      </c>
      <c r="E17" t="s">
        <v>23</v>
      </c>
      <c r="F17" t="s">
        <v>24</v>
      </c>
      <c r="G17" s="5">
        <v>992785</v>
      </c>
      <c r="H17" s="5">
        <v>733300</v>
      </c>
      <c r="I17" s="9">
        <f t="shared" si="4"/>
        <v>73.862920974833429</v>
      </c>
      <c r="J17" s="5">
        <v>153600</v>
      </c>
      <c r="K17" s="5">
        <f>G17-0</f>
        <v>992785</v>
      </c>
      <c r="L17" s="5">
        <v>153600</v>
      </c>
      <c r="M17" s="17">
        <v>160</v>
      </c>
      <c r="N17" s="20">
        <v>0</v>
      </c>
      <c r="O17" s="24">
        <v>2.54</v>
      </c>
      <c r="P17" s="24">
        <v>0</v>
      </c>
      <c r="Q17" s="50">
        <f t="shared" si="5"/>
        <v>6204.90625</v>
      </c>
      <c r="R17" s="5">
        <f t="shared" si="6"/>
        <v>390860.23622047243</v>
      </c>
      <c r="S17" s="28">
        <f t="shared" si="7"/>
        <v>8.9729163503322411</v>
      </c>
      <c r="T17" s="24">
        <v>0</v>
      </c>
      <c r="U17" s="43"/>
    </row>
    <row r="18" spans="1:21" ht="26.25" customHeight="1" x14ac:dyDescent="0.3">
      <c r="A18" t="s">
        <v>171</v>
      </c>
      <c r="B18" t="s">
        <v>172</v>
      </c>
      <c r="C18" s="13">
        <v>45289</v>
      </c>
      <c r="D18" s="5">
        <v>750000</v>
      </c>
      <c r="E18" t="s">
        <v>23</v>
      </c>
      <c r="F18" t="s">
        <v>58</v>
      </c>
      <c r="G18" s="5">
        <v>750000</v>
      </c>
      <c r="H18" s="5">
        <v>466600</v>
      </c>
      <c r="I18" s="9">
        <f t="shared" si="4"/>
        <v>62.213333333333331</v>
      </c>
      <c r="J18" s="5">
        <v>962117</v>
      </c>
      <c r="K18" s="5">
        <f>G18-105367</f>
        <v>644633</v>
      </c>
      <c r="L18" s="5">
        <v>856750</v>
      </c>
      <c r="M18" s="17">
        <v>100</v>
      </c>
      <c r="N18" s="20">
        <v>220</v>
      </c>
      <c r="O18" s="24">
        <v>5.7549999999999999</v>
      </c>
      <c r="P18" s="24">
        <v>4.53</v>
      </c>
      <c r="Q18" s="5">
        <f t="shared" si="5"/>
        <v>6446.33</v>
      </c>
      <c r="R18" s="5">
        <f t="shared" si="6"/>
        <v>112012.68462206777</v>
      </c>
      <c r="S18" s="28">
        <f t="shared" si="7"/>
        <v>2.5714574063835576</v>
      </c>
      <c r="T18" s="24">
        <v>100</v>
      </c>
      <c r="U18" s="43" t="s">
        <v>173</v>
      </c>
    </row>
    <row r="19" spans="1:21" ht="14.45" x14ac:dyDescent="0.3">
      <c r="A19" t="s">
        <v>180</v>
      </c>
      <c r="B19" t="s">
        <v>181</v>
      </c>
      <c r="C19" s="13">
        <v>44911</v>
      </c>
      <c r="D19" s="5">
        <v>150000</v>
      </c>
      <c r="E19" t="s">
        <v>23</v>
      </c>
      <c r="F19" t="s">
        <v>58</v>
      </c>
      <c r="G19" s="5">
        <v>150000</v>
      </c>
      <c r="H19" s="5">
        <v>163100</v>
      </c>
      <c r="I19" s="9">
        <f t="shared" si="4"/>
        <v>108.73333333333332</v>
      </c>
      <c r="J19" s="5">
        <v>226422</v>
      </c>
      <c r="K19" s="5">
        <f>G19-0</f>
        <v>150000</v>
      </c>
      <c r="L19" s="5">
        <v>226422</v>
      </c>
      <c r="M19" s="17">
        <v>377.37</v>
      </c>
      <c r="N19" s="20">
        <v>442.5</v>
      </c>
      <c r="O19" s="24">
        <v>1.873</v>
      </c>
      <c r="P19" s="24">
        <v>0.73799999999999999</v>
      </c>
      <c r="Q19" s="5">
        <f t="shared" si="5"/>
        <v>397.48787661976309</v>
      </c>
      <c r="R19" s="5">
        <f t="shared" si="6"/>
        <v>80085.424452749605</v>
      </c>
      <c r="S19" s="28">
        <f t="shared" si="7"/>
        <v>1.8385083666838753</v>
      </c>
      <c r="T19" s="24">
        <v>377.37</v>
      </c>
      <c r="U19" s="43" t="s">
        <v>182</v>
      </c>
    </row>
    <row r="20" spans="1:21" ht="14.45" x14ac:dyDescent="0.3">
      <c r="A20" t="s">
        <v>163</v>
      </c>
      <c r="B20" t="s">
        <v>164</v>
      </c>
      <c r="C20" s="13">
        <v>44774</v>
      </c>
      <c r="D20" s="5">
        <v>2690000</v>
      </c>
      <c r="E20" t="s">
        <v>23</v>
      </c>
      <c r="F20" t="s">
        <v>24</v>
      </c>
      <c r="G20" s="5">
        <v>2690000</v>
      </c>
      <c r="H20" s="5">
        <v>983600</v>
      </c>
      <c r="I20" s="9">
        <f t="shared" si="4"/>
        <v>36.565055762081784</v>
      </c>
      <c r="J20" s="5">
        <v>2646474</v>
      </c>
      <c r="K20" s="5">
        <f>G20-2261274</f>
        <v>428726</v>
      </c>
      <c r="L20" s="5">
        <v>385200</v>
      </c>
      <c r="M20" s="17">
        <v>428</v>
      </c>
      <c r="N20" s="20">
        <v>221</v>
      </c>
      <c r="O20" s="24">
        <v>2.1709999999999998</v>
      </c>
      <c r="P20" s="24">
        <v>2.1709999999999998</v>
      </c>
      <c r="Q20" s="5">
        <f t="shared" si="5"/>
        <v>1001.6962616822429</v>
      </c>
      <c r="R20" s="5">
        <f t="shared" si="6"/>
        <v>197478.58129894061</v>
      </c>
      <c r="S20" s="28">
        <f t="shared" si="7"/>
        <v>4.5334844191675989</v>
      </c>
      <c r="T20" s="24">
        <v>428</v>
      </c>
      <c r="U20" s="43"/>
    </row>
  </sheetData>
  <conditionalFormatting sqref="A2:U11">
    <cfRule type="expression" dxfId="67" priority="11" stopIfTrue="1">
      <formula>MOD(ROW(),4)&gt;1</formula>
    </cfRule>
    <cfRule type="expression" dxfId="66" priority="12" stopIfTrue="1">
      <formula>MOD(ROW(),4)&lt;2</formula>
    </cfRule>
  </conditionalFormatting>
  <conditionalFormatting sqref="A16:U16">
    <cfRule type="expression" dxfId="65" priority="9" stopIfTrue="1">
      <formula>MOD(ROW(),4)&gt;1</formula>
    </cfRule>
    <cfRule type="expression" dxfId="64" priority="10" stopIfTrue="1">
      <formula>MOD(ROW(),4)&lt;2</formula>
    </cfRule>
  </conditionalFormatting>
  <conditionalFormatting sqref="A17:U17">
    <cfRule type="expression" dxfId="63" priority="7" stopIfTrue="1">
      <formula>MOD(ROW(),4)&gt;1</formula>
    </cfRule>
    <cfRule type="expression" dxfId="62" priority="8" stopIfTrue="1">
      <formula>MOD(ROW(),4)&lt;2</formula>
    </cfRule>
  </conditionalFormatting>
  <conditionalFormatting sqref="A18:U18">
    <cfRule type="expression" dxfId="61" priority="5" stopIfTrue="1">
      <formula>MOD(ROW(),4)&gt;1</formula>
    </cfRule>
    <cfRule type="expression" dxfId="60" priority="6" stopIfTrue="1">
      <formula>MOD(ROW(),4)&lt;2</formula>
    </cfRule>
  </conditionalFormatting>
  <conditionalFormatting sqref="A19:U19">
    <cfRule type="expression" dxfId="59" priority="3" stopIfTrue="1">
      <formula>MOD(ROW(),4)&gt;1</formula>
    </cfRule>
    <cfRule type="expression" dxfId="58" priority="4" stopIfTrue="1">
      <formula>MOD(ROW(),4)&lt;2</formula>
    </cfRule>
  </conditionalFormatting>
  <conditionalFormatting sqref="A20:U20">
    <cfRule type="expression" dxfId="57" priority="1" stopIfTrue="1">
      <formula>MOD(ROW(),4)&gt;1</formula>
    </cfRule>
    <cfRule type="expression" dxfId="56" priority="2" stopIfTrue="1">
      <formula>MOD(ROW(),4)&lt;2</formula>
    </cfRule>
  </conditionalFormatting>
  <pageMargins left="0.2" right="0.2" top="0.75" bottom="0.75" header="0.3" footer="0.3"/>
  <pageSetup paperSize="5" scale="80" orientation="landscape" r:id="rId1"/>
  <headerFooter>
    <oddHeader>&amp;C2024-2025 COMMERCIAL
LAND ANALYSIS
IMLAY CITY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workbookViewId="0">
      <selection activeCell="R23" sqref="R23"/>
    </sheetView>
  </sheetViews>
  <sheetFormatPr defaultRowHeight="15" x14ac:dyDescent="0.25"/>
  <cols>
    <col min="1" max="1" width="14.28515625" bestFit="1" customWidth="1"/>
    <col min="2" max="2" width="15.7109375" customWidth="1"/>
    <col min="3" max="3" width="8.7109375" bestFit="1" customWidth="1"/>
    <col min="4" max="4" width="10.85546875" bestFit="1" customWidth="1"/>
    <col min="5" max="5" width="4.7109375" bestFit="1" customWidth="1"/>
    <col min="6" max="6" width="16.28515625" customWidth="1"/>
    <col min="7" max="7" width="10.85546875" bestFit="1" customWidth="1"/>
    <col min="8" max="8" width="9.28515625" bestFit="1" customWidth="1"/>
    <col min="9" max="9" width="7.28515625" bestFit="1" customWidth="1"/>
    <col min="10" max="11" width="10.85546875" bestFit="1" customWidth="1"/>
    <col min="12" max="12" width="9.28515625" bestFit="1" customWidth="1"/>
    <col min="13" max="13" width="7.85546875" bestFit="1" customWidth="1"/>
    <col min="14" max="14" width="8.28515625" bestFit="1" customWidth="1"/>
    <col min="15" max="16" width="6.28515625" bestFit="1" customWidth="1"/>
    <col min="17" max="17" width="7.28515625" bestFit="1" customWidth="1"/>
    <col min="18" max="18" width="9.28515625" bestFit="1" customWidth="1"/>
    <col min="19" max="19" width="7.7109375" bestFit="1" customWidth="1"/>
    <col min="20" max="20" width="7.28515625" bestFit="1" customWidth="1"/>
    <col min="21" max="21" width="16.85546875" customWidth="1"/>
    <col min="22" max="22" width="18.5703125" customWidth="1"/>
    <col min="23" max="23" width="0.7109375" customWidth="1"/>
  </cols>
  <sheetData>
    <row r="1" spans="1:41" s="43" customFormat="1" ht="51.75" customHeight="1" x14ac:dyDescent="0.3">
      <c r="A1" s="33" t="s">
        <v>0</v>
      </c>
      <c r="B1" s="33" t="s">
        <v>1</v>
      </c>
      <c r="C1" s="35" t="s">
        <v>2</v>
      </c>
      <c r="D1" s="36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7" t="s">
        <v>8</v>
      </c>
      <c r="J1" s="36" t="s">
        <v>9</v>
      </c>
      <c r="K1" s="36" t="s">
        <v>10</v>
      </c>
      <c r="L1" s="36" t="s">
        <v>11</v>
      </c>
      <c r="M1" s="38" t="s">
        <v>12</v>
      </c>
      <c r="N1" s="39" t="s">
        <v>13</v>
      </c>
      <c r="O1" s="40" t="s">
        <v>14</v>
      </c>
      <c r="P1" s="40" t="s">
        <v>15</v>
      </c>
      <c r="Q1" s="36" t="s">
        <v>16</v>
      </c>
      <c r="R1" s="36" t="s">
        <v>17</v>
      </c>
      <c r="S1" s="41" t="s">
        <v>18</v>
      </c>
      <c r="T1" s="40" t="s">
        <v>19</v>
      </c>
      <c r="U1" s="33" t="s">
        <v>20</v>
      </c>
      <c r="V1" s="42" t="s">
        <v>290</v>
      </c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14.45" x14ac:dyDescent="0.3">
      <c r="A2" t="s">
        <v>29</v>
      </c>
      <c r="B2" t="s">
        <v>30</v>
      </c>
      <c r="C2" s="13">
        <v>45126</v>
      </c>
      <c r="D2" s="5">
        <v>280000</v>
      </c>
      <c r="E2" t="s">
        <v>23</v>
      </c>
      <c r="F2" t="s">
        <v>24</v>
      </c>
      <c r="G2" s="5">
        <v>280000</v>
      </c>
      <c r="H2" s="5">
        <v>173300</v>
      </c>
      <c r="I2" s="9">
        <f t="shared" ref="I2:I9" si="0">H2/G2*100</f>
        <v>61.892857142857139</v>
      </c>
      <c r="J2" s="5">
        <v>387435</v>
      </c>
      <c r="K2" s="5">
        <f>G2-135885</f>
        <v>144115</v>
      </c>
      <c r="L2" s="5">
        <v>251550</v>
      </c>
      <c r="M2" s="17">
        <v>1655</v>
      </c>
      <c r="N2" s="20">
        <v>0</v>
      </c>
      <c r="O2" s="24">
        <v>50</v>
      </c>
      <c r="P2" s="24">
        <v>50</v>
      </c>
      <c r="Q2" s="5">
        <f t="shared" ref="Q2:Q9" si="1">K2/M2</f>
        <v>87.0785498489426</v>
      </c>
      <c r="R2" s="5">
        <f t="shared" ref="R2:R9" si="2">K2/O2</f>
        <v>2882.3</v>
      </c>
      <c r="S2" s="28">
        <f t="shared" ref="S2:S9" si="3">K2/O2/43560</f>
        <v>6.6168503213957758E-2</v>
      </c>
      <c r="T2" s="24">
        <v>0</v>
      </c>
      <c r="U2" s="43"/>
    </row>
    <row r="3" spans="1:41" ht="14.45" x14ac:dyDescent="0.3">
      <c r="A3" t="s">
        <v>119</v>
      </c>
      <c r="B3" t="s">
        <v>120</v>
      </c>
      <c r="C3" s="13">
        <v>44894</v>
      </c>
      <c r="D3" s="5">
        <v>105000</v>
      </c>
      <c r="E3" t="s">
        <v>23</v>
      </c>
      <c r="F3" t="s">
        <v>24</v>
      </c>
      <c r="G3" s="5">
        <v>105000</v>
      </c>
      <c r="H3" s="5">
        <v>32800</v>
      </c>
      <c r="I3" s="9">
        <f t="shared" si="0"/>
        <v>31.238095238095237</v>
      </c>
      <c r="J3" s="5">
        <v>77907</v>
      </c>
      <c r="K3" s="5">
        <f>G3-56907</f>
        <v>48093</v>
      </c>
      <c r="L3" s="5">
        <v>21000</v>
      </c>
      <c r="M3" s="17">
        <v>60</v>
      </c>
      <c r="N3" s="20">
        <v>72</v>
      </c>
      <c r="O3" s="24">
        <v>9.9000000000000005E-2</v>
      </c>
      <c r="P3" s="24">
        <v>9.9000000000000005E-2</v>
      </c>
      <c r="Q3" s="5">
        <f t="shared" si="1"/>
        <v>801.55</v>
      </c>
      <c r="R3" s="5">
        <f t="shared" si="2"/>
        <v>485787.87878787878</v>
      </c>
      <c r="S3" s="28">
        <f t="shared" si="3"/>
        <v>11.152155160419623</v>
      </c>
      <c r="T3" s="24">
        <v>60</v>
      </c>
      <c r="U3" s="43"/>
    </row>
    <row r="4" spans="1:41" ht="14.45" x14ac:dyDescent="0.3">
      <c r="A4" t="s">
        <v>31</v>
      </c>
      <c r="B4" t="s">
        <v>32</v>
      </c>
      <c r="C4" s="13">
        <v>44656</v>
      </c>
      <c r="D4" s="5">
        <v>300000</v>
      </c>
      <c r="E4" t="s">
        <v>23</v>
      </c>
      <c r="F4" t="s">
        <v>24</v>
      </c>
      <c r="G4" s="5">
        <v>300000</v>
      </c>
      <c r="H4" s="5">
        <v>114200</v>
      </c>
      <c r="I4" s="9">
        <f t="shared" si="0"/>
        <v>38.066666666666663</v>
      </c>
      <c r="J4" s="5">
        <v>205702</v>
      </c>
      <c r="K4" s="5">
        <f>G4-92612</f>
        <v>207388</v>
      </c>
      <c r="L4" s="5">
        <v>113090</v>
      </c>
      <c r="M4" s="17">
        <v>296</v>
      </c>
      <c r="N4" s="20">
        <v>175</v>
      </c>
      <c r="O4" s="24">
        <v>2.99</v>
      </c>
      <c r="P4" s="24">
        <v>2.99</v>
      </c>
      <c r="Q4" s="5">
        <f t="shared" si="1"/>
        <v>700.6351351351351</v>
      </c>
      <c r="R4" s="5">
        <f t="shared" si="2"/>
        <v>69360.535117056847</v>
      </c>
      <c r="S4" s="28">
        <f t="shared" si="3"/>
        <v>1.5922987859746751</v>
      </c>
      <c r="T4" s="24">
        <v>296</v>
      </c>
      <c r="U4" s="43"/>
    </row>
    <row r="5" spans="1:41" ht="14.45" x14ac:dyDescent="0.3">
      <c r="A5" t="s">
        <v>31</v>
      </c>
      <c r="B5" t="s">
        <v>32</v>
      </c>
      <c r="C5" s="13">
        <v>45351</v>
      </c>
      <c r="D5" s="5">
        <v>300000</v>
      </c>
      <c r="E5" t="s">
        <v>23</v>
      </c>
      <c r="F5" t="s">
        <v>24</v>
      </c>
      <c r="G5" s="5">
        <v>300000</v>
      </c>
      <c r="H5" s="5">
        <v>122700</v>
      </c>
      <c r="I5" s="9">
        <f t="shared" si="0"/>
        <v>40.9</v>
      </c>
      <c r="J5" s="5">
        <v>262925</v>
      </c>
      <c r="K5" s="5">
        <f>G5-149835</f>
        <v>150165</v>
      </c>
      <c r="L5" s="5">
        <v>113090</v>
      </c>
      <c r="M5" s="17">
        <v>296</v>
      </c>
      <c r="N5" s="20">
        <v>175</v>
      </c>
      <c r="O5" s="24">
        <v>2.99</v>
      </c>
      <c r="P5" s="24">
        <v>2.99</v>
      </c>
      <c r="Q5" s="5">
        <f t="shared" si="1"/>
        <v>507.31418918918916</v>
      </c>
      <c r="R5" s="5">
        <f t="shared" si="2"/>
        <v>50222.408026755846</v>
      </c>
      <c r="S5" s="28">
        <f t="shared" si="3"/>
        <v>1.1529478426711626</v>
      </c>
      <c r="T5" s="24">
        <v>296</v>
      </c>
      <c r="U5" s="43"/>
    </row>
    <row r="6" spans="1:41" ht="14.45" x14ac:dyDescent="0.3">
      <c r="A6" t="s">
        <v>44</v>
      </c>
      <c r="B6" t="s">
        <v>45</v>
      </c>
      <c r="C6" s="13">
        <v>45114</v>
      </c>
      <c r="D6" s="5">
        <v>260000</v>
      </c>
      <c r="E6" t="s">
        <v>23</v>
      </c>
      <c r="F6" t="s">
        <v>24</v>
      </c>
      <c r="G6" s="5">
        <v>260000</v>
      </c>
      <c r="H6" s="5">
        <v>119000</v>
      </c>
      <c r="I6" s="9">
        <f t="shared" si="0"/>
        <v>45.769230769230766</v>
      </c>
      <c r="J6" s="47">
        <v>0</v>
      </c>
      <c r="K6" s="69">
        <f>G6-156121</f>
        <v>103879</v>
      </c>
      <c r="L6" s="5">
        <v>0</v>
      </c>
      <c r="M6" s="17">
        <v>198</v>
      </c>
      <c r="N6" s="20">
        <v>660</v>
      </c>
      <c r="O6" s="24">
        <v>3</v>
      </c>
      <c r="P6" s="24">
        <v>3</v>
      </c>
      <c r="Q6" s="5">
        <f t="shared" si="1"/>
        <v>524.64141414141409</v>
      </c>
      <c r="R6" s="5">
        <f t="shared" si="2"/>
        <v>34626.333333333336</v>
      </c>
      <c r="S6" s="28">
        <f t="shared" si="3"/>
        <v>0.79491123354759718</v>
      </c>
      <c r="T6" s="24">
        <v>0</v>
      </c>
      <c r="U6" s="43"/>
    </row>
    <row r="7" spans="1:41" ht="14.45" x14ac:dyDescent="0.3">
      <c r="A7" t="s">
        <v>48</v>
      </c>
      <c r="B7" t="s">
        <v>49</v>
      </c>
      <c r="C7" s="13">
        <v>44887</v>
      </c>
      <c r="D7" s="5">
        <v>375000</v>
      </c>
      <c r="E7" t="s">
        <v>23</v>
      </c>
      <c r="F7" t="s">
        <v>24</v>
      </c>
      <c r="G7" s="5">
        <v>375000</v>
      </c>
      <c r="H7" s="5">
        <v>169900</v>
      </c>
      <c r="I7" s="9">
        <f t="shared" si="0"/>
        <v>45.306666666666665</v>
      </c>
      <c r="J7" s="5">
        <v>381141</v>
      </c>
      <c r="K7" s="5">
        <f>G7-188291</f>
        <v>186709</v>
      </c>
      <c r="L7" s="5">
        <v>192850</v>
      </c>
      <c r="M7" s="17">
        <v>551</v>
      </c>
      <c r="N7" s="20">
        <v>1051</v>
      </c>
      <c r="O7" s="24">
        <v>13.644</v>
      </c>
      <c r="P7" s="24">
        <v>13.644</v>
      </c>
      <c r="Q7" s="5">
        <f t="shared" si="1"/>
        <v>338.85480943738656</v>
      </c>
      <c r="R7" s="5">
        <f t="shared" si="2"/>
        <v>13684.330108472588</v>
      </c>
      <c r="S7" s="28">
        <f t="shared" si="3"/>
        <v>0.31414899238917787</v>
      </c>
      <c r="T7" s="24">
        <v>551</v>
      </c>
      <c r="U7" s="43"/>
    </row>
    <row r="8" spans="1:41" ht="27" customHeight="1" x14ac:dyDescent="0.3">
      <c r="A8" t="s">
        <v>313</v>
      </c>
      <c r="B8" t="s">
        <v>314</v>
      </c>
      <c r="C8" s="13">
        <v>45091</v>
      </c>
      <c r="D8" s="5">
        <v>170000</v>
      </c>
      <c r="E8" t="s">
        <v>23</v>
      </c>
      <c r="F8" t="s">
        <v>24</v>
      </c>
      <c r="G8" s="5">
        <v>170000</v>
      </c>
      <c r="H8" s="5"/>
      <c r="I8" s="9"/>
      <c r="J8" s="5"/>
      <c r="K8" s="5">
        <v>170000</v>
      </c>
      <c r="L8" s="5"/>
      <c r="M8" s="17">
        <v>234</v>
      </c>
      <c r="N8" s="20">
        <v>389</v>
      </c>
      <c r="O8" s="24">
        <v>2.09</v>
      </c>
      <c r="P8" s="24">
        <v>2.09</v>
      </c>
      <c r="Q8" s="5">
        <f t="shared" si="1"/>
        <v>726.49572649572644</v>
      </c>
      <c r="R8" s="5">
        <f t="shared" si="2"/>
        <v>81339.712918660298</v>
      </c>
      <c r="S8" s="28">
        <f t="shared" si="3"/>
        <v>1.8673028677378398</v>
      </c>
      <c r="T8" s="24">
        <v>234</v>
      </c>
      <c r="U8" s="43" t="s">
        <v>315</v>
      </c>
    </row>
    <row r="9" spans="1:41" ht="14.45" x14ac:dyDescent="0.3">
      <c r="A9" t="s">
        <v>54</v>
      </c>
      <c r="B9" t="s">
        <v>55</v>
      </c>
      <c r="C9" s="13">
        <v>44713</v>
      </c>
      <c r="D9" s="5">
        <v>425000</v>
      </c>
      <c r="E9" t="s">
        <v>23</v>
      </c>
      <c r="F9" t="s">
        <v>24</v>
      </c>
      <c r="G9" s="5">
        <v>425000</v>
      </c>
      <c r="H9" s="5">
        <v>68900</v>
      </c>
      <c r="I9" s="9">
        <f t="shared" si="0"/>
        <v>16.211764705882352</v>
      </c>
      <c r="J9" s="5">
        <v>243326</v>
      </c>
      <c r="K9" s="5">
        <f>G9-136856</f>
        <v>288144</v>
      </c>
      <c r="L9" s="5">
        <v>106470</v>
      </c>
      <c r="M9" s="17">
        <v>396</v>
      </c>
      <c r="N9" s="20">
        <v>0</v>
      </c>
      <c r="O9" s="24">
        <v>12.7</v>
      </c>
      <c r="P9" s="24">
        <v>12.7</v>
      </c>
      <c r="Q9" s="5">
        <f t="shared" si="1"/>
        <v>727.63636363636363</v>
      </c>
      <c r="R9" s="5">
        <f t="shared" si="2"/>
        <v>22688.503937007874</v>
      </c>
      <c r="S9" s="28">
        <f t="shared" si="3"/>
        <v>0.52085638055573635</v>
      </c>
      <c r="T9" s="24">
        <v>396</v>
      </c>
      <c r="U9" s="43"/>
    </row>
    <row r="10" spans="1:41" ht="14.45" x14ac:dyDescent="0.3">
      <c r="A10" t="s">
        <v>121</v>
      </c>
      <c r="B10" t="s">
        <v>122</v>
      </c>
      <c r="C10" s="13">
        <v>44726</v>
      </c>
      <c r="D10" s="5">
        <v>180000</v>
      </c>
      <c r="E10" t="s">
        <v>110</v>
      </c>
      <c r="F10" t="s">
        <v>24</v>
      </c>
      <c r="G10" s="5">
        <v>180000</v>
      </c>
      <c r="H10" s="5">
        <v>68500</v>
      </c>
      <c r="I10" s="9">
        <f t="shared" ref="I10:I16" si="4">H10/G10*100</f>
        <v>38.055555555555557</v>
      </c>
      <c r="J10" s="5">
        <v>136566</v>
      </c>
      <c r="K10" s="5">
        <f>G10-156566</f>
        <v>23434</v>
      </c>
      <c r="L10" s="5">
        <v>10000</v>
      </c>
      <c r="M10" s="17">
        <v>27</v>
      </c>
      <c r="N10" s="20">
        <v>100</v>
      </c>
      <c r="O10" s="24">
        <v>6.2E-2</v>
      </c>
      <c r="P10" s="24">
        <v>6.2E-2</v>
      </c>
      <c r="Q10" s="5">
        <f t="shared" ref="Q10:Q16" si="5">K10/M10</f>
        <v>867.92592592592598</v>
      </c>
      <c r="R10" s="5">
        <f t="shared" ref="R10:R16" si="6">K10/O10</f>
        <v>377967.74193548388</v>
      </c>
      <c r="S10" s="28">
        <f t="shared" ref="S10:S16" si="7">K10/O10/43560</f>
        <v>8.6769454071506864</v>
      </c>
      <c r="T10" s="24">
        <v>27</v>
      </c>
      <c r="U10" s="43"/>
    </row>
    <row r="11" spans="1:41" ht="14.45" x14ac:dyDescent="0.3">
      <c r="A11" t="s">
        <v>125</v>
      </c>
      <c r="B11" t="s">
        <v>126</v>
      </c>
      <c r="C11" s="13">
        <v>45170</v>
      </c>
      <c r="D11" s="5">
        <v>239000</v>
      </c>
      <c r="E11" t="s">
        <v>23</v>
      </c>
      <c r="F11" t="s">
        <v>24</v>
      </c>
      <c r="G11" s="5">
        <v>239000</v>
      </c>
      <c r="H11" s="5">
        <v>120400</v>
      </c>
      <c r="I11" s="9">
        <f t="shared" si="4"/>
        <v>50.376569037656907</v>
      </c>
      <c r="J11" s="5">
        <v>193178</v>
      </c>
      <c r="K11" s="5">
        <f>G11-151812</f>
        <v>87188</v>
      </c>
      <c r="L11" s="5">
        <v>41366</v>
      </c>
      <c r="M11" s="17">
        <v>87.5</v>
      </c>
      <c r="N11" s="20">
        <v>93</v>
      </c>
      <c r="O11" s="24">
        <v>0.187</v>
      </c>
      <c r="P11" s="24">
        <v>0.187</v>
      </c>
      <c r="Q11" s="5">
        <f t="shared" si="5"/>
        <v>996.43428571428569</v>
      </c>
      <c r="R11" s="5">
        <f t="shared" si="6"/>
        <v>466245.98930481286</v>
      </c>
      <c r="S11" s="28">
        <f t="shared" si="7"/>
        <v>10.703535108007641</v>
      </c>
      <c r="T11" s="24">
        <v>87.5</v>
      </c>
      <c r="U11" s="43"/>
    </row>
    <row r="12" spans="1:41" ht="14.45" x14ac:dyDescent="0.3">
      <c r="A12" t="s">
        <v>127</v>
      </c>
      <c r="B12" t="s">
        <v>128</v>
      </c>
      <c r="C12" s="13">
        <v>44761</v>
      </c>
      <c r="D12" s="5">
        <v>257500</v>
      </c>
      <c r="E12" t="s">
        <v>23</v>
      </c>
      <c r="F12" t="s">
        <v>24</v>
      </c>
      <c r="G12" s="5">
        <v>257500</v>
      </c>
      <c r="H12" s="5">
        <v>120100</v>
      </c>
      <c r="I12" s="9">
        <f t="shared" si="4"/>
        <v>46.640776699029125</v>
      </c>
      <c r="J12" s="5">
        <v>234472</v>
      </c>
      <c r="K12" s="5">
        <f>G12-199472</f>
        <v>58028</v>
      </c>
      <c r="L12" s="5">
        <v>35000</v>
      </c>
      <c r="M12" s="17">
        <v>100</v>
      </c>
      <c r="N12" s="20">
        <v>118</v>
      </c>
      <c r="O12" s="24">
        <v>0.27100000000000002</v>
      </c>
      <c r="P12" s="24">
        <v>0.27100000000000002</v>
      </c>
      <c r="Q12" s="5">
        <f t="shared" si="5"/>
        <v>580.28</v>
      </c>
      <c r="R12" s="5">
        <f t="shared" si="6"/>
        <v>214125.46125461254</v>
      </c>
      <c r="S12" s="28">
        <f t="shared" si="7"/>
        <v>4.9156441977642915</v>
      </c>
      <c r="T12" s="24">
        <v>100</v>
      </c>
      <c r="U12" s="43"/>
    </row>
    <row r="13" spans="1:41" ht="14.45" x14ac:dyDescent="0.3">
      <c r="A13" t="s">
        <v>145</v>
      </c>
      <c r="B13" t="s">
        <v>146</v>
      </c>
      <c r="C13" s="13">
        <v>45343</v>
      </c>
      <c r="D13" s="5">
        <v>97000</v>
      </c>
      <c r="E13" t="s">
        <v>23</v>
      </c>
      <c r="F13" t="s">
        <v>24</v>
      </c>
      <c r="G13" s="5">
        <v>97000</v>
      </c>
      <c r="H13" s="5">
        <v>57000</v>
      </c>
      <c r="I13" s="9">
        <f t="shared" si="4"/>
        <v>58.762886597938149</v>
      </c>
      <c r="J13" s="5">
        <v>117920</v>
      </c>
      <c r="K13" s="5">
        <f>G13-82920</f>
        <v>14080</v>
      </c>
      <c r="L13" s="5">
        <v>35000</v>
      </c>
      <c r="M13" s="17">
        <v>100</v>
      </c>
      <c r="N13" s="20">
        <v>100</v>
      </c>
      <c r="O13" s="24">
        <v>0.23</v>
      </c>
      <c r="P13" s="24">
        <v>0.23</v>
      </c>
      <c r="Q13" s="5">
        <f t="shared" si="5"/>
        <v>140.80000000000001</v>
      </c>
      <c r="R13" s="5">
        <f t="shared" si="6"/>
        <v>61217.391304347824</v>
      </c>
      <c r="S13" s="28">
        <f t="shared" si="7"/>
        <v>1.4053579270970575</v>
      </c>
      <c r="T13" s="24">
        <v>100</v>
      </c>
      <c r="U13" s="43"/>
    </row>
    <row r="14" spans="1:41" ht="14.45" x14ac:dyDescent="0.3">
      <c r="A14" t="s">
        <v>147</v>
      </c>
      <c r="B14" t="s">
        <v>148</v>
      </c>
      <c r="C14" s="13">
        <v>45005</v>
      </c>
      <c r="D14" s="5">
        <v>300000</v>
      </c>
      <c r="E14" t="s">
        <v>23</v>
      </c>
      <c r="F14" t="s">
        <v>24</v>
      </c>
      <c r="G14" s="5">
        <v>300000</v>
      </c>
      <c r="H14" s="5">
        <v>123800</v>
      </c>
      <c r="I14" s="9">
        <f t="shared" si="4"/>
        <v>41.266666666666666</v>
      </c>
      <c r="J14" s="5">
        <v>320120</v>
      </c>
      <c r="K14" s="5">
        <f>G14-260182</f>
        <v>39818</v>
      </c>
      <c r="L14" s="5">
        <v>59938</v>
      </c>
      <c r="M14" s="17">
        <v>137</v>
      </c>
      <c r="N14" s="20">
        <v>66</v>
      </c>
      <c r="O14" s="24">
        <v>0.20799999999999999</v>
      </c>
      <c r="P14" s="24">
        <v>0.20799999999999999</v>
      </c>
      <c r="Q14" s="5">
        <f t="shared" si="5"/>
        <v>290.64233576642334</v>
      </c>
      <c r="R14" s="5">
        <f t="shared" si="6"/>
        <v>191432.69230769231</v>
      </c>
      <c r="S14" s="28">
        <f t="shared" si="7"/>
        <v>4.3946899060535429</v>
      </c>
      <c r="T14" s="24">
        <v>137</v>
      </c>
      <c r="U14" s="43"/>
    </row>
    <row r="15" spans="1:41" ht="14.45" x14ac:dyDescent="0.3">
      <c r="A15" t="s">
        <v>149</v>
      </c>
      <c r="B15" t="s">
        <v>150</v>
      </c>
      <c r="C15" s="13">
        <v>44956</v>
      </c>
      <c r="D15" s="5">
        <v>50000</v>
      </c>
      <c r="E15" t="s">
        <v>23</v>
      </c>
      <c r="F15" t="s">
        <v>24</v>
      </c>
      <c r="G15" s="5">
        <v>50000</v>
      </c>
      <c r="H15" s="5">
        <v>14400</v>
      </c>
      <c r="I15" s="9">
        <f t="shared" si="4"/>
        <v>28.799999999999997</v>
      </c>
      <c r="J15" s="5">
        <v>51697</v>
      </c>
      <c r="K15" s="5">
        <f>G15-32797</f>
        <v>17203</v>
      </c>
      <c r="L15" s="5">
        <v>18900</v>
      </c>
      <c r="M15" s="17">
        <v>54</v>
      </c>
      <c r="N15" s="20">
        <v>82</v>
      </c>
      <c r="O15" s="24">
        <v>0.10199999999999999</v>
      </c>
      <c r="P15" s="24">
        <v>0.10199999999999999</v>
      </c>
      <c r="Q15" s="5">
        <f t="shared" si="5"/>
        <v>318.57407407407408</v>
      </c>
      <c r="R15" s="5">
        <f t="shared" si="6"/>
        <v>168656.86274509804</v>
      </c>
      <c r="S15" s="28">
        <f t="shared" si="7"/>
        <v>3.8718288049838852</v>
      </c>
      <c r="T15" s="24">
        <v>54</v>
      </c>
      <c r="U15" s="43"/>
    </row>
    <row r="16" spans="1:41" ht="14.45" x14ac:dyDescent="0.3">
      <c r="A16" t="s">
        <v>151</v>
      </c>
      <c r="B16" t="s">
        <v>152</v>
      </c>
      <c r="C16" s="13">
        <v>45133</v>
      </c>
      <c r="D16" s="5">
        <v>125000</v>
      </c>
      <c r="E16" t="s">
        <v>23</v>
      </c>
      <c r="F16" t="s">
        <v>24</v>
      </c>
      <c r="G16" s="5">
        <v>125000</v>
      </c>
      <c r="H16" s="5">
        <v>40200</v>
      </c>
      <c r="I16" s="9">
        <f t="shared" si="4"/>
        <v>32.159999999999997</v>
      </c>
      <c r="J16" s="5">
        <v>96245</v>
      </c>
      <c r="K16" s="5">
        <f>G16-67370</f>
        <v>57630</v>
      </c>
      <c r="L16" s="5">
        <v>28875</v>
      </c>
      <c r="M16" s="17">
        <v>75</v>
      </c>
      <c r="N16" s="20">
        <v>110</v>
      </c>
      <c r="O16" s="24">
        <v>0.189</v>
      </c>
      <c r="P16" s="24">
        <v>0.189</v>
      </c>
      <c r="Q16" s="5">
        <f t="shared" si="5"/>
        <v>768.4</v>
      </c>
      <c r="R16" s="5">
        <f t="shared" si="6"/>
        <v>304920.63492063491</v>
      </c>
      <c r="S16" s="28">
        <f t="shared" si="7"/>
        <v>7.000014575772151</v>
      </c>
      <c r="T16" s="24">
        <v>75</v>
      </c>
      <c r="U16" s="43"/>
    </row>
    <row r="17" spans="1:22" ht="14.45" x14ac:dyDescent="0.3">
      <c r="A17" t="s">
        <v>93</v>
      </c>
      <c r="B17" t="s">
        <v>94</v>
      </c>
      <c r="C17" s="13">
        <v>44952</v>
      </c>
      <c r="D17" s="5">
        <v>300000</v>
      </c>
      <c r="E17" t="s">
        <v>37</v>
      </c>
      <c r="F17" t="s">
        <v>24</v>
      </c>
      <c r="G17" s="5">
        <v>300000</v>
      </c>
      <c r="H17" s="5">
        <v>161400</v>
      </c>
      <c r="I17" s="9">
        <f>H17/G17*100</f>
        <v>53.800000000000004</v>
      </c>
      <c r="J17" s="5">
        <v>329454</v>
      </c>
      <c r="K17" s="5">
        <f>G17-214654</f>
        <v>85346</v>
      </c>
      <c r="L17" s="5">
        <v>114800</v>
      </c>
      <c r="M17" s="17">
        <v>328</v>
      </c>
      <c r="N17" s="20">
        <v>77.5</v>
      </c>
      <c r="O17" s="24">
        <v>0.71399999999999997</v>
      </c>
      <c r="P17" s="24">
        <v>0.71399999999999997</v>
      </c>
      <c r="Q17" s="5">
        <f>K17/M17</f>
        <v>260.20121951219511</v>
      </c>
      <c r="R17" s="5">
        <f>K17/O17</f>
        <v>119532.21288515406</v>
      </c>
      <c r="S17" s="28">
        <f>K17/O17/43560</f>
        <v>2.7440820221568885</v>
      </c>
      <c r="T17" s="24">
        <v>328</v>
      </c>
      <c r="U17" s="43"/>
    </row>
    <row r="18" spans="1:22" ht="14.45" x14ac:dyDescent="0.3">
      <c r="A18" t="s">
        <v>136</v>
      </c>
      <c r="B18" t="s">
        <v>137</v>
      </c>
      <c r="C18" s="13">
        <v>45414</v>
      </c>
      <c r="D18" s="5">
        <v>294500</v>
      </c>
      <c r="E18" t="s">
        <v>23</v>
      </c>
      <c r="F18" t="s">
        <v>24</v>
      </c>
      <c r="G18" s="5">
        <v>294500</v>
      </c>
      <c r="H18" s="5">
        <v>339700</v>
      </c>
      <c r="I18" s="9">
        <f>H18/G18*100</f>
        <v>115.34804753820033</v>
      </c>
      <c r="J18" s="47">
        <v>0</v>
      </c>
      <c r="K18" s="58">
        <f>G18-201754</f>
        <v>92746</v>
      </c>
      <c r="L18" s="5">
        <v>0</v>
      </c>
      <c r="M18" s="17">
        <v>264</v>
      </c>
      <c r="N18" s="20">
        <v>0</v>
      </c>
      <c r="O18" s="24">
        <v>2.5</v>
      </c>
      <c r="P18" s="24">
        <v>2.5</v>
      </c>
      <c r="Q18" s="5">
        <f>K18/M18</f>
        <v>351.31060606060606</v>
      </c>
      <c r="R18" s="5">
        <f>K18/O18</f>
        <v>37098.400000000001</v>
      </c>
      <c r="S18" s="28">
        <f>K18/O18/43560</f>
        <v>0.85166207529843896</v>
      </c>
      <c r="T18" s="24">
        <v>0</v>
      </c>
      <c r="U18" s="43"/>
    </row>
    <row r="19" spans="1:22" ht="14.45" x14ac:dyDescent="0.3">
      <c r="A19" t="s">
        <v>138</v>
      </c>
      <c r="B19" t="s">
        <v>139</v>
      </c>
      <c r="C19" s="13">
        <v>45146</v>
      </c>
      <c r="D19" s="5">
        <v>297500</v>
      </c>
      <c r="E19" t="s">
        <v>23</v>
      </c>
      <c r="F19" t="s">
        <v>24</v>
      </c>
      <c r="G19" s="5">
        <v>297500</v>
      </c>
      <c r="H19" s="5">
        <v>137200</v>
      </c>
      <c r="I19" s="9">
        <f>H19/G19*100</f>
        <v>46.117647058823529</v>
      </c>
      <c r="J19" s="47">
        <v>0</v>
      </c>
      <c r="K19" s="58">
        <f>G19-204101</f>
        <v>93399</v>
      </c>
      <c r="L19" s="5">
        <v>0</v>
      </c>
      <c r="M19" s="17">
        <v>436</v>
      </c>
      <c r="N19" s="20">
        <v>0</v>
      </c>
      <c r="O19" s="24">
        <v>2.95</v>
      </c>
      <c r="P19" s="24">
        <v>0</v>
      </c>
      <c r="Q19" s="5">
        <f>K19/M19</f>
        <v>214.21788990825689</v>
      </c>
      <c r="R19" s="5">
        <f>K19/O19</f>
        <v>31660.677966101692</v>
      </c>
      <c r="S19" s="28">
        <f>K19/O19/43560</f>
        <v>0.72682915441004803</v>
      </c>
      <c r="T19" s="24">
        <v>0</v>
      </c>
      <c r="U19" s="43"/>
    </row>
    <row r="20" spans="1:22" ht="14.45" x14ac:dyDescent="0.3">
      <c r="K20" s="5">
        <f>SUM(K2:K19)</f>
        <v>1867365</v>
      </c>
      <c r="M20" s="17">
        <f>SUM(M2:M19)</f>
        <v>5294.5</v>
      </c>
    </row>
    <row r="22" spans="1:22" ht="14.45" x14ac:dyDescent="0.3">
      <c r="L22" s="34" t="s">
        <v>293</v>
      </c>
      <c r="M22" s="34"/>
      <c r="N22" s="59">
        <f>K20/M20</f>
        <v>352.69902729247332</v>
      </c>
      <c r="O22" s="34" t="s">
        <v>291</v>
      </c>
      <c r="P22" s="34" t="s">
        <v>316</v>
      </c>
      <c r="Q22" s="34"/>
      <c r="R22" t="s">
        <v>317</v>
      </c>
    </row>
    <row r="23" spans="1:22" ht="28.9" x14ac:dyDescent="0.3">
      <c r="A23" t="s">
        <v>62</v>
      </c>
      <c r="B23" t="s">
        <v>63</v>
      </c>
      <c r="C23" s="13">
        <v>45065</v>
      </c>
      <c r="D23" s="5">
        <v>1900000</v>
      </c>
      <c r="E23" t="s">
        <v>23</v>
      </c>
      <c r="F23" t="s">
        <v>24</v>
      </c>
      <c r="G23" s="5">
        <v>1900000</v>
      </c>
      <c r="H23" s="5">
        <v>406900</v>
      </c>
      <c r="I23" s="9">
        <f>H23/G23*100</f>
        <v>21.41578947368421</v>
      </c>
      <c r="J23" s="5">
        <v>1253805</v>
      </c>
      <c r="K23" s="5">
        <f>G23-1056288</f>
        <v>843712</v>
      </c>
      <c r="L23" s="5">
        <v>197517</v>
      </c>
      <c r="M23" s="17">
        <v>200</v>
      </c>
      <c r="N23" s="20">
        <v>516</v>
      </c>
      <c r="O23" s="24">
        <v>3.33</v>
      </c>
      <c r="P23" s="24">
        <v>3.33</v>
      </c>
      <c r="Q23" s="5">
        <f>K23/M23</f>
        <v>4218.5600000000004</v>
      </c>
      <c r="R23" s="5">
        <f>K23/O23</f>
        <v>253366.96696696695</v>
      </c>
      <c r="S23" s="28">
        <f>K23/O23/43560</f>
        <v>5.8165052104446042</v>
      </c>
      <c r="T23" s="24">
        <v>200</v>
      </c>
      <c r="U23" s="43"/>
      <c r="V23" s="43" t="s">
        <v>295</v>
      </c>
    </row>
    <row r="24" spans="1:22" ht="28.9" x14ac:dyDescent="0.3">
      <c r="A24" t="s">
        <v>69</v>
      </c>
      <c r="B24" t="s">
        <v>70</v>
      </c>
      <c r="C24" s="13">
        <v>44993</v>
      </c>
      <c r="D24" s="5">
        <v>600000</v>
      </c>
      <c r="E24" t="s">
        <v>23</v>
      </c>
      <c r="F24" t="s">
        <v>58</v>
      </c>
      <c r="G24" s="5">
        <v>600000</v>
      </c>
      <c r="H24" s="5">
        <v>586500</v>
      </c>
      <c r="I24" s="9">
        <f t="shared" ref="I24:I25" si="8">H24/G24*100</f>
        <v>97.75</v>
      </c>
      <c r="J24" s="5">
        <v>201845</v>
      </c>
      <c r="K24" s="50">
        <f>G24-0</f>
        <v>600000</v>
      </c>
      <c r="L24" s="5">
        <v>201845</v>
      </c>
      <c r="M24" s="17">
        <v>216</v>
      </c>
      <c r="N24" s="20">
        <v>0</v>
      </c>
      <c r="O24" s="24">
        <v>40.64</v>
      </c>
      <c r="P24" s="24">
        <v>38</v>
      </c>
      <c r="Q24" s="5">
        <f t="shared" ref="Q24:Q25" si="9">K24/M24</f>
        <v>2777.7777777777778</v>
      </c>
      <c r="R24" s="5">
        <f t="shared" ref="R24:R25" si="10">K24/O24</f>
        <v>14763.779527559054</v>
      </c>
      <c r="S24" s="28">
        <f t="shared" ref="S24:S25" si="11">K24/O24/43560</f>
        <v>0.33892974122036396</v>
      </c>
      <c r="T24" s="24">
        <v>0</v>
      </c>
      <c r="U24" s="43" t="s">
        <v>71</v>
      </c>
      <c r="V24" s="43" t="s">
        <v>289</v>
      </c>
    </row>
    <row r="25" spans="1:22" ht="28.9" x14ac:dyDescent="0.3">
      <c r="A25" t="s">
        <v>142</v>
      </c>
      <c r="B25" t="s">
        <v>143</v>
      </c>
      <c r="C25" s="13">
        <v>45091</v>
      </c>
      <c r="D25" s="5">
        <v>140000</v>
      </c>
      <c r="E25" t="s">
        <v>110</v>
      </c>
      <c r="F25" t="s">
        <v>58</v>
      </c>
      <c r="G25" s="5">
        <v>140000</v>
      </c>
      <c r="H25" s="5">
        <v>42200</v>
      </c>
      <c r="I25" s="9">
        <f t="shared" si="8"/>
        <v>30.142857142857142</v>
      </c>
      <c r="J25" s="5">
        <v>78588</v>
      </c>
      <c r="K25" s="5">
        <f>G25-47688</f>
        <v>92312</v>
      </c>
      <c r="L25" s="5">
        <v>30900</v>
      </c>
      <c r="M25" s="17">
        <v>103</v>
      </c>
      <c r="N25" s="20">
        <v>117</v>
      </c>
      <c r="O25" s="24">
        <v>0.27700000000000002</v>
      </c>
      <c r="P25" s="24">
        <v>0.27700000000000002</v>
      </c>
      <c r="Q25" s="5">
        <f t="shared" si="9"/>
        <v>896.23300970873788</v>
      </c>
      <c r="R25" s="5">
        <f t="shared" si="10"/>
        <v>333256.31768953067</v>
      </c>
      <c r="S25" s="28">
        <f t="shared" si="11"/>
        <v>7.650512343653137</v>
      </c>
      <c r="T25" s="24">
        <v>103</v>
      </c>
      <c r="U25" s="43" t="s">
        <v>144</v>
      </c>
      <c r="V25" s="43" t="s">
        <v>289</v>
      </c>
    </row>
    <row r="26" spans="1:22" ht="28.9" x14ac:dyDescent="0.3">
      <c r="A26" t="s">
        <v>56</v>
      </c>
      <c r="B26" t="s">
        <v>57</v>
      </c>
      <c r="C26" s="13">
        <v>45415</v>
      </c>
      <c r="D26" s="5">
        <v>465000</v>
      </c>
      <c r="E26" t="s">
        <v>23</v>
      </c>
      <c r="F26" t="s">
        <v>58</v>
      </c>
      <c r="G26" s="5">
        <v>465000</v>
      </c>
      <c r="H26" s="5">
        <v>223000</v>
      </c>
      <c r="I26" s="9">
        <f>H26/G26*100</f>
        <v>47.956989247311824</v>
      </c>
      <c r="J26" s="5">
        <v>492991</v>
      </c>
      <c r="K26" s="5">
        <f>G26-292441</f>
        <v>172559</v>
      </c>
      <c r="L26" s="5">
        <v>200550</v>
      </c>
      <c r="M26" s="17">
        <v>573</v>
      </c>
      <c r="N26" s="20">
        <v>595</v>
      </c>
      <c r="O26" s="24">
        <v>4.8159999999999998</v>
      </c>
      <c r="P26" s="24">
        <v>1.7629999999999999</v>
      </c>
      <c r="Q26" s="5">
        <f>K26/M26</f>
        <v>301.15008726003492</v>
      </c>
      <c r="R26" s="5">
        <f>K26/O26</f>
        <v>35830.357142857145</v>
      </c>
      <c r="S26" s="28">
        <f>K26/O26/43560</f>
        <v>0.82255181686999879</v>
      </c>
      <c r="T26" s="24">
        <v>573</v>
      </c>
      <c r="U26" s="43" t="s">
        <v>59</v>
      </c>
      <c r="V26" s="43" t="s">
        <v>289</v>
      </c>
    </row>
    <row r="27" spans="1:22" ht="30" x14ac:dyDescent="0.25">
      <c r="A27" t="s">
        <v>81</v>
      </c>
      <c r="B27" t="s">
        <v>82</v>
      </c>
      <c r="C27" s="13">
        <v>44785</v>
      </c>
      <c r="D27" s="5">
        <v>400000</v>
      </c>
      <c r="E27" t="s">
        <v>23</v>
      </c>
      <c r="F27" t="s">
        <v>24</v>
      </c>
      <c r="G27" s="5">
        <v>400000</v>
      </c>
      <c r="H27" s="5">
        <v>97200</v>
      </c>
      <c r="I27" s="9">
        <f>H27/G27*100</f>
        <v>24.3</v>
      </c>
      <c r="J27" s="5">
        <v>383225</v>
      </c>
      <c r="K27" s="50">
        <f>G27-0</f>
        <v>400000</v>
      </c>
      <c r="L27" s="5">
        <v>336825</v>
      </c>
      <c r="M27" s="17">
        <v>950</v>
      </c>
      <c r="N27" s="20">
        <v>501.56317100000001</v>
      </c>
      <c r="O27" s="24">
        <v>10.939</v>
      </c>
      <c r="P27" s="24">
        <v>10.939</v>
      </c>
      <c r="Q27" s="5">
        <f>K27/M27</f>
        <v>421.05263157894734</v>
      </c>
      <c r="R27" s="5">
        <f>K27/O27</f>
        <v>36566.413748971572</v>
      </c>
      <c r="S27" s="28">
        <f>K27/O27/43560</f>
        <v>0.83944935144562838</v>
      </c>
      <c r="T27" s="24">
        <v>950</v>
      </c>
      <c r="U27" s="43"/>
      <c r="V27" s="43" t="s">
        <v>294</v>
      </c>
    </row>
    <row r="28" spans="1:22" ht="30" x14ac:dyDescent="0.25">
      <c r="A28" t="s">
        <v>147</v>
      </c>
      <c r="B28" t="s">
        <v>148</v>
      </c>
      <c r="C28" s="13">
        <v>45142</v>
      </c>
      <c r="D28" s="5">
        <v>269250</v>
      </c>
      <c r="E28" t="s">
        <v>110</v>
      </c>
      <c r="F28" t="s">
        <v>24</v>
      </c>
      <c r="G28" s="5">
        <v>269250</v>
      </c>
      <c r="H28" s="5">
        <v>124800</v>
      </c>
      <c r="I28" s="9">
        <f t="shared" ref="I28:I32" si="12">H28/G28*100</f>
        <v>46.350974930362113</v>
      </c>
      <c r="J28" s="5">
        <v>320120</v>
      </c>
      <c r="K28" s="5">
        <f>G28-260182</f>
        <v>9068</v>
      </c>
      <c r="L28" s="5">
        <v>59938</v>
      </c>
      <c r="M28" s="17">
        <v>137</v>
      </c>
      <c r="N28" s="20">
        <v>66</v>
      </c>
      <c r="O28" s="24">
        <v>0.20799999999999999</v>
      </c>
      <c r="P28" s="24">
        <v>0.20799999999999999</v>
      </c>
      <c r="Q28" s="5">
        <f t="shared" ref="Q28:Q32" si="13">K28/M28</f>
        <v>66.189781021897815</v>
      </c>
      <c r="R28" s="5">
        <f t="shared" ref="R28:R29" si="14">K28/O28</f>
        <v>43596.153846153851</v>
      </c>
      <c r="S28" s="28">
        <f t="shared" ref="S28:S29" si="15">K28/O28/43560</f>
        <v>1.0008299781027055</v>
      </c>
      <c r="T28" s="24">
        <v>137</v>
      </c>
      <c r="U28" s="43"/>
      <c r="V28" s="43" t="s">
        <v>295</v>
      </c>
    </row>
    <row r="29" spans="1:22" ht="30" customHeight="1" x14ac:dyDescent="0.25">
      <c r="A29" t="s">
        <v>117</v>
      </c>
      <c r="B29" t="s">
        <v>118</v>
      </c>
      <c r="C29" s="13">
        <v>45302</v>
      </c>
      <c r="D29" s="5">
        <v>90000</v>
      </c>
      <c r="E29" t="s">
        <v>23</v>
      </c>
      <c r="F29" t="s">
        <v>24</v>
      </c>
      <c r="G29" s="5">
        <v>90000</v>
      </c>
      <c r="H29" s="5">
        <v>61600</v>
      </c>
      <c r="I29" s="9">
        <f t="shared" si="12"/>
        <v>68.444444444444443</v>
      </c>
      <c r="J29" s="5">
        <v>136308</v>
      </c>
      <c r="K29" s="5">
        <f>G29-83808</f>
        <v>6192</v>
      </c>
      <c r="L29" s="5">
        <v>52500</v>
      </c>
      <c r="M29" s="17">
        <v>200</v>
      </c>
      <c r="N29" s="20">
        <v>646</v>
      </c>
      <c r="O29" s="24">
        <v>3.12</v>
      </c>
      <c r="P29" s="24">
        <v>3.12</v>
      </c>
      <c r="Q29" s="5">
        <f t="shared" si="13"/>
        <v>30.96</v>
      </c>
      <c r="R29" s="5">
        <f t="shared" si="14"/>
        <v>1984.6153846153845</v>
      </c>
      <c r="S29" s="28">
        <f t="shared" si="15"/>
        <v>4.5560500105954652E-2</v>
      </c>
      <c r="T29" s="24">
        <v>200</v>
      </c>
      <c r="U29" s="43"/>
      <c r="V29" s="43" t="s">
        <v>295</v>
      </c>
    </row>
    <row r="30" spans="1:22" ht="30" x14ac:dyDescent="0.25">
      <c r="A30" t="s">
        <v>311</v>
      </c>
      <c r="B30" t="s">
        <v>312</v>
      </c>
      <c r="C30" s="13">
        <v>45350</v>
      </c>
      <c r="D30" s="5">
        <v>550000</v>
      </c>
      <c r="E30" t="s">
        <v>302</v>
      </c>
      <c r="G30" s="5">
        <v>550000</v>
      </c>
      <c r="H30" s="5">
        <v>277700</v>
      </c>
      <c r="I30" s="9">
        <f t="shared" si="12"/>
        <v>50.490909090909085</v>
      </c>
      <c r="J30" s="5">
        <v>414973</v>
      </c>
      <c r="K30" s="5">
        <f>G30-355487</f>
        <v>194513</v>
      </c>
      <c r="L30" s="5">
        <v>170000</v>
      </c>
      <c r="M30" s="17">
        <v>194</v>
      </c>
      <c r="N30" s="20">
        <v>252</v>
      </c>
      <c r="O30" s="24"/>
      <c r="P30" s="24"/>
      <c r="Q30" s="5">
        <f t="shared" si="13"/>
        <v>1002.6443298969073</v>
      </c>
      <c r="R30" s="5"/>
      <c r="S30" s="28"/>
      <c r="T30" s="24"/>
      <c r="U30" s="43"/>
      <c r="V30" s="43" t="s">
        <v>295</v>
      </c>
    </row>
    <row r="31" spans="1:22" ht="30" x14ac:dyDescent="0.25">
      <c r="A31" t="s">
        <v>50</v>
      </c>
      <c r="B31" t="s">
        <v>51</v>
      </c>
      <c r="C31" s="13">
        <v>44819</v>
      </c>
      <c r="D31" s="5">
        <v>379000</v>
      </c>
      <c r="E31" t="s">
        <v>23</v>
      </c>
      <c r="F31" t="s">
        <v>24</v>
      </c>
      <c r="G31" s="5">
        <v>379000</v>
      </c>
      <c r="H31" s="5">
        <v>77900</v>
      </c>
      <c r="I31" s="9">
        <f t="shared" si="12"/>
        <v>20.554089709762533</v>
      </c>
      <c r="J31" s="5">
        <v>251143</v>
      </c>
      <c r="K31" s="5">
        <f>G31-160003</f>
        <v>218997</v>
      </c>
      <c r="L31" s="5">
        <v>91140</v>
      </c>
      <c r="M31" s="17">
        <v>217</v>
      </c>
      <c r="N31" s="20">
        <v>626</v>
      </c>
      <c r="O31" s="24">
        <v>3.7989999999999999</v>
      </c>
      <c r="P31" s="24">
        <v>3.88</v>
      </c>
      <c r="Q31" s="5">
        <f t="shared" si="13"/>
        <v>1009.2027649769585</v>
      </c>
      <c r="R31" s="5">
        <f t="shared" ref="R31:R32" si="16">K31/O31</f>
        <v>57645.959463016581</v>
      </c>
      <c r="S31" s="28">
        <f t="shared" ref="S31:S32" si="17">K31/O31/43560</f>
        <v>1.3233691336780666</v>
      </c>
      <c r="T31" s="24">
        <v>217</v>
      </c>
      <c r="U31" s="43"/>
      <c r="V31" s="43" t="s">
        <v>295</v>
      </c>
    </row>
    <row r="32" spans="1:22" ht="30" x14ac:dyDescent="0.25">
      <c r="A32" t="s">
        <v>52</v>
      </c>
      <c r="B32" t="s">
        <v>53</v>
      </c>
      <c r="C32" s="13">
        <v>45302</v>
      </c>
      <c r="D32" s="5">
        <v>290000</v>
      </c>
      <c r="E32" t="s">
        <v>23</v>
      </c>
      <c r="F32" t="s">
        <v>24</v>
      </c>
      <c r="G32" s="5">
        <v>290000</v>
      </c>
      <c r="H32" s="5">
        <v>81300</v>
      </c>
      <c r="I32" s="9">
        <f t="shared" si="12"/>
        <v>28.034482758620687</v>
      </c>
      <c r="J32" s="5">
        <v>142546</v>
      </c>
      <c r="K32" s="5">
        <f>G32-152296</f>
        <v>137704</v>
      </c>
      <c r="L32" s="5">
        <v>40250</v>
      </c>
      <c r="M32" s="17">
        <v>115</v>
      </c>
      <c r="N32" s="20">
        <v>145</v>
      </c>
      <c r="O32" s="24">
        <v>0.38300000000000001</v>
      </c>
      <c r="P32" s="24">
        <v>0.38300000000000001</v>
      </c>
      <c r="Q32" s="5">
        <f t="shared" si="13"/>
        <v>1197.4260869565217</v>
      </c>
      <c r="R32" s="5">
        <f t="shared" si="16"/>
        <v>359540.46997389034</v>
      </c>
      <c r="S32" s="28">
        <f t="shared" si="17"/>
        <v>8.2539134521095114</v>
      </c>
      <c r="T32" s="24">
        <v>115</v>
      </c>
      <c r="U32" s="43"/>
      <c r="V32" s="43" t="s">
        <v>295</v>
      </c>
    </row>
  </sheetData>
  <conditionalFormatting sqref="A10:U16 A2:U3 A8:U8">
    <cfRule type="expression" dxfId="55" priority="41" stopIfTrue="1">
      <formula>MOD(ROW(),4)&gt;1</formula>
    </cfRule>
    <cfRule type="expression" dxfId="54" priority="42" stopIfTrue="1">
      <formula>MOD(ROW(),4)&lt;2</formula>
    </cfRule>
  </conditionalFormatting>
  <conditionalFormatting sqref="A4:U5">
    <cfRule type="expression" dxfId="53" priority="39" stopIfTrue="1">
      <formula>MOD(ROW(),4)&gt;1</formula>
    </cfRule>
    <cfRule type="expression" dxfId="52" priority="40" stopIfTrue="1">
      <formula>MOD(ROW(),4)&lt;2</formula>
    </cfRule>
  </conditionalFormatting>
  <conditionalFormatting sqref="A6:U7">
    <cfRule type="expression" dxfId="51" priority="37" stopIfTrue="1">
      <formula>MOD(ROW(),4)&gt;1</formula>
    </cfRule>
    <cfRule type="expression" dxfId="50" priority="38" stopIfTrue="1">
      <formula>MOD(ROW(),4)&lt;2</formula>
    </cfRule>
  </conditionalFormatting>
  <conditionalFormatting sqref="A9:U9">
    <cfRule type="expression" dxfId="49" priority="31" stopIfTrue="1">
      <formula>MOD(ROW(),4)&gt;1</formula>
    </cfRule>
    <cfRule type="expression" dxfId="48" priority="32" stopIfTrue="1">
      <formula>MOD(ROW(),4)&lt;2</formula>
    </cfRule>
  </conditionalFormatting>
  <conditionalFormatting sqref="A17:U17">
    <cfRule type="expression" dxfId="47" priority="25" stopIfTrue="1">
      <formula>MOD(ROW(),4)&gt;1</formula>
    </cfRule>
    <cfRule type="expression" dxfId="46" priority="26" stopIfTrue="1">
      <formula>MOD(ROW(),4)&lt;2</formula>
    </cfRule>
  </conditionalFormatting>
  <conditionalFormatting sqref="A18:U19">
    <cfRule type="expression" dxfId="45" priority="23" stopIfTrue="1">
      <formula>MOD(ROW(),4)&gt;1</formula>
    </cfRule>
    <cfRule type="expression" dxfId="44" priority="24" stopIfTrue="1">
      <formula>MOD(ROW(),4)&lt;2</formula>
    </cfRule>
  </conditionalFormatting>
  <conditionalFormatting sqref="A23:U23">
    <cfRule type="expression" dxfId="43" priority="21" stopIfTrue="1">
      <formula>MOD(ROW(),4)&gt;1</formula>
    </cfRule>
    <cfRule type="expression" dxfId="42" priority="22" stopIfTrue="1">
      <formula>MOD(ROW(),4)&lt;2</formula>
    </cfRule>
  </conditionalFormatting>
  <conditionalFormatting sqref="A24:U24">
    <cfRule type="expression" dxfId="41" priority="19" stopIfTrue="1">
      <formula>MOD(ROW(),4)&gt;1</formula>
    </cfRule>
    <cfRule type="expression" dxfId="40" priority="20" stopIfTrue="1">
      <formula>MOD(ROW(),4)&lt;2</formula>
    </cfRule>
  </conditionalFormatting>
  <conditionalFormatting sqref="A25:U25">
    <cfRule type="expression" dxfId="39" priority="17" stopIfTrue="1">
      <formula>MOD(ROW(),4)&gt;1</formula>
    </cfRule>
    <cfRule type="expression" dxfId="38" priority="18" stopIfTrue="1">
      <formula>MOD(ROW(),4)&lt;2</formula>
    </cfRule>
  </conditionalFormatting>
  <conditionalFormatting sqref="A26:U26">
    <cfRule type="expression" dxfId="37" priority="15" stopIfTrue="1">
      <formula>MOD(ROW(),4)&gt;1</formula>
    </cfRule>
    <cfRule type="expression" dxfId="36" priority="16" stopIfTrue="1">
      <formula>MOD(ROW(),4)&lt;2</formula>
    </cfRule>
  </conditionalFormatting>
  <conditionalFormatting sqref="A27:U27">
    <cfRule type="expression" dxfId="35" priority="13" stopIfTrue="1">
      <formula>MOD(ROW(),4)&gt;1</formula>
    </cfRule>
    <cfRule type="expression" dxfId="34" priority="14" stopIfTrue="1">
      <formula>MOD(ROW(),4)&lt;2</formula>
    </cfRule>
  </conditionalFormatting>
  <conditionalFormatting sqref="A28:U28">
    <cfRule type="expression" dxfId="33" priority="11" stopIfTrue="1">
      <formula>MOD(ROW(),4)&gt;1</formula>
    </cfRule>
    <cfRule type="expression" dxfId="32" priority="12" stopIfTrue="1">
      <formula>MOD(ROW(),4)&lt;2</formula>
    </cfRule>
  </conditionalFormatting>
  <conditionalFormatting sqref="A29:U29">
    <cfRule type="expression" dxfId="31" priority="9" stopIfTrue="1">
      <formula>MOD(ROW(),4)&gt;1</formula>
    </cfRule>
    <cfRule type="expression" dxfId="30" priority="10" stopIfTrue="1">
      <formula>MOD(ROW(),4)&lt;2</formula>
    </cfRule>
  </conditionalFormatting>
  <conditionalFormatting sqref="A30:U30">
    <cfRule type="expression" dxfId="29" priority="7" stopIfTrue="1">
      <formula>MOD(ROW(),4)&gt;1</formula>
    </cfRule>
    <cfRule type="expression" dxfId="28" priority="8" stopIfTrue="1">
      <formula>MOD(ROW(),4)&lt;2</formula>
    </cfRule>
  </conditionalFormatting>
  <conditionalFormatting sqref="A31:U31">
    <cfRule type="expression" dxfId="27" priority="5" stopIfTrue="1">
      <formula>MOD(ROW(),4)&gt;1</formula>
    </cfRule>
    <cfRule type="expression" dxfId="26" priority="6" stopIfTrue="1">
      <formula>MOD(ROW(),4)&lt;2</formula>
    </cfRule>
  </conditionalFormatting>
  <conditionalFormatting sqref="A32:U32">
    <cfRule type="expression" dxfId="25" priority="3" stopIfTrue="1">
      <formula>MOD(ROW(),4)&gt;1</formula>
    </cfRule>
    <cfRule type="expression" dxfId="24" priority="4" stopIfTrue="1">
      <formula>MOD(ROW(),4)&lt;2</formula>
    </cfRule>
  </conditionalFormatting>
  <pageMargins left="0.2" right="0.2" top="0.75" bottom="0.5" header="0.3" footer="0.3"/>
  <pageSetup paperSize="5" scale="80" orientation="landscape" r:id="rId1"/>
  <headerFooter>
    <oddHeader>&amp;C2024-2025 COMMERCIAL
LAND ANALYSIS
RICH-BURL-MARATHON-N BRANCH-BURNSIDE-OREGON-ARCADIA-GOODLAND-ELBA-ATTICA-IMLAY-HADLEY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workbookViewId="0">
      <selection activeCell="O27" sqref="O27"/>
    </sheetView>
  </sheetViews>
  <sheetFormatPr defaultColWidth="11.140625" defaultRowHeight="15" x14ac:dyDescent="0.25"/>
  <cols>
    <col min="1" max="1" width="14.28515625" bestFit="1" customWidth="1"/>
    <col min="2" max="2" width="13.140625" customWidth="1"/>
    <col min="3" max="3" width="9.5703125" customWidth="1"/>
    <col min="5" max="5" width="5.42578125" customWidth="1"/>
    <col min="6" max="6" width="14.5703125" customWidth="1"/>
    <col min="15" max="15" width="8.85546875" customWidth="1"/>
    <col min="19" max="19" width="9.28515625" customWidth="1"/>
    <col min="20" max="20" width="9.7109375" customWidth="1"/>
    <col min="21" max="21" width="12" customWidth="1"/>
    <col min="22" max="22" width="8.85546875" customWidth="1"/>
  </cols>
  <sheetData>
    <row r="1" spans="1:41" s="43" customFormat="1" ht="51.75" customHeight="1" x14ac:dyDescent="0.3">
      <c r="A1" s="33" t="s">
        <v>0</v>
      </c>
      <c r="B1" s="33" t="s">
        <v>1</v>
      </c>
      <c r="C1" s="35" t="s">
        <v>2</v>
      </c>
      <c r="D1" s="36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7" t="s">
        <v>8</v>
      </c>
      <c r="J1" s="36" t="s">
        <v>9</v>
      </c>
      <c r="K1" s="36" t="s">
        <v>10</v>
      </c>
      <c r="L1" s="36" t="s">
        <v>11</v>
      </c>
      <c r="M1" s="38" t="s">
        <v>12</v>
      </c>
      <c r="N1" s="39" t="s">
        <v>13</v>
      </c>
      <c r="O1" s="40" t="s">
        <v>14</v>
      </c>
      <c r="P1" s="40" t="s">
        <v>15</v>
      </c>
      <c r="Q1" s="36" t="s">
        <v>16</v>
      </c>
      <c r="R1" s="36" t="s">
        <v>17</v>
      </c>
      <c r="S1" s="41" t="s">
        <v>18</v>
      </c>
      <c r="T1" s="40" t="s">
        <v>19</v>
      </c>
      <c r="U1" s="33" t="s">
        <v>20</v>
      </c>
      <c r="V1" s="42" t="s">
        <v>290</v>
      </c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14.45" x14ac:dyDescent="0.3">
      <c r="A2" t="s">
        <v>21</v>
      </c>
      <c r="B2" t="s">
        <v>22</v>
      </c>
      <c r="C2" s="13">
        <v>44820</v>
      </c>
      <c r="D2" s="5">
        <v>500000</v>
      </c>
      <c r="E2" t="s">
        <v>23</v>
      </c>
      <c r="F2" t="s">
        <v>24</v>
      </c>
      <c r="G2" s="5">
        <v>500000</v>
      </c>
      <c r="H2" s="5">
        <v>136300</v>
      </c>
      <c r="I2" s="9">
        <f t="shared" ref="I2:I9" si="0">H2/G2*100</f>
        <v>27.26</v>
      </c>
      <c r="J2" s="5">
        <v>489739</v>
      </c>
      <c r="K2" s="5">
        <f>G2-324013</f>
        <v>175987</v>
      </c>
      <c r="L2" s="5">
        <v>165726</v>
      </c>
      <c r="M2" s="17">
        <v>341</v>
      </c>
      <c r="N2" s="20">
        <v>1235</v>
      </c>
      <c r="O2" s="24">
        <v>10.09</v>
      </c>
      <c r="P2" s="24">
        <v>10.09</v>
      </c>
      <c r="Q2" s="5">
        <f t="shared" ref="Q2:Q9" si="1">K2/M2</f>
        <v>516.09090909090912</v>
      </c>
      <c r="R2" s="5">
        <f t="shared" ref="R2:R9" si="2">K2/O2</f>
        <v>17441.724479682856</v>
      </c>
      <c r="S2" s="28">
        <f t="shared" ref="S2:S9" si="3">K2/O2/43560</f>
        <v>0.40040689806434471</v>
      </c>
      <c r="T2" s="24">
        <v>341</v>
      </c>
      <c r="U2" s="43"/>
      <c r="AF2" s="1"/>
      <c r="AH2" s="1"/>
    </row>
    <row r="3" spans="1:41" ht="14.45" x14ac:dyDescent="0.3">
      <c r="A3" t="s">
        <v>25</v>
      </c>
      <c r="B3" t="s">
        <v>26</v>
      </c>
      <c r="C3" s="13">
        <v>45320</v>
      </c>
      <c r="D3" s="5">
        <v>810000</v>
      </c>
      <c r="E3" t="s">
        <v>23</v>
      </c>
      <c r="F3" t="s">
        <v>24</v>
      </c>
      <c r="G3" s="5">
        <v>810000</v>
      </c>
      <c r="H3" s="5">
        <v>442100</v>
      </c>
      <c r="I3" s="9">
        <f t="shared" si="0"/>
        <v>54.580246913580247</v>
      </c>
      <c r="J3" s="5">
        <v>903932</v>
      </c>
      <c r="K3" s="5">
        <f>G3-755432</f>
        <v>54568</v>
      </c>
      <c r="L3" s="5">
        <v>148500</v>
      </c>
      <c r="M3" s="17">
        <v>275</v>
      </c>
      <c r="N3" s="20">
        <v>1100</v>
      </c>
      <c r="O3" s="24">
        <v>6.944</v>
      </c>
      <c r="P3" s="24">
        <v>6.944</v>
      </c>
      <c r="Q3" s="5">
        <f t="shared" si="1"/>
        <v>198.42909090909092</v>
      </c>
      <c r="R3" s="5">
        <f t="shared" si="2"/>
        <v>7858.294930875576</v>
      </c>
      <c r="S3" s="28">
        <f t="shared" si="3"/>
        <v>0.18040162834884244</v>
      </c>
      <c r="T3" s="24">
        <v>275</v>
      </c>
      <c r="U3" s="43"/>
    </row>
    <row r="4" spans="1:41" ht="14.45" x14ac:dyDescent="0.3">
      <c r="A4" t="s">
        <v>27</v>
      </c>
      <c r="B4" t="s">
        <v>28</v>
      </c>
      <c r="C4" s="13">
        <v>45001</v>
      </c>
      <c r="D4" s="5">
        <v>29000</v>
      </c>
      <c r="E4" t="s">
        <v>23</v>
      </c>
      <c r="F4" t="s">
        <v>24</v>
      </c>
      <c r="G4" s="5">
        <v>29000</v>
      </c>
      <c r="H4" s="5">
        <v>14900</v>
      </c>
      <c r="I4" s="9">
        <f t="shared" si="0"/>
        <v>51.379310344827587</v>
      </c>
      <c r="J4" s="5">
        <v>43740</v>
      </c>
      <c r="K4" s="58">
        <f>G4-0</f>
        <v>29000</v>
      </c>
      <c r="L4" s="5">
        <v>43740</v>
      </c>
      <c r="M4" s="17">
        <v>81</v>
      </c>
      <c r="N4" s="20">
        <v>537</v>
      </c>
      <c r="O4" s="24">
        <v>0.999</v>
      </c>
      <c r="P4" s="24">
        <v>0.999</v>
      </c>
      <c r="Q4" s="5">
        <f t="shared" si="1"/>
        <v>358.02469135802471</v>
      </c>
      <c r="R4" s="5">
        <f t="shared" si="2"/>
        <v>29029.029029029029</v>
      </c>
      <c r="S4" s="28">
        <f t="shared" si="3"/>
        <v>0.66641480782894924</v>
      </c>
      <c r="T4" s="24">
        <v>81</v>
      </c>
      <c r="U4" s="43"/>
    </row>
    <row r="5" spans="1:41" ht="14.45" x14ac:dyDescent="0.3">
      <c r="A5" t="s">
        <v>95</v>
      </c>
      <c r="B5" t="s">
        <v>96</v>
      </c>
      <c r="C5" s="13">
        <v>44699</v>
      </c>
      <c r="D5" s="5">
        <v>620000</v>
      </c>
      <c r="E5" t="s">
        <v>23</v>
      </c>
      <c r="F5" t="s">
        <v>24</v>
      </c>
      <c r="G5" s="5">
        <v>620000</v>
      </c>
      <c r="H5" s="5">
        <v>106500</v>
      </c>
      <c r="I5" s="9">
        <f t="shared" si="0"/>
        <v>17.177419354838712</v>
      </c>
      <c r="J5" s="5">
        <v>417826</v>
      </c>
      <c r="K5" s="5">
        <f>G5-285826</f>
        <v>334174</v>
      </c>
      <c r="L5" s="5">
        <v>162000</v>
      </c>
      <c r="M5" s="17">
        <v>300</v>
      </c>
      <c r="N5" s="20">
        <v>952.5</v>
      </c>
      <c r="O5" s="24">
        <v>6.56</v>
      </c>
      <c r="P5" s="24">
        <v>6.56</v>
      </c>
      <c r="Q5" s="5">
        <f t="shared" si="1"/>
        <v>1113.9133333333334</v>
      </c>
      <c r="R5" s="5">
        <f t="shared" si="2"/>
        <v>50941.158536585368</v>
      </c>
      <c r="S5" s="28">
        <f t="shared" si="3"/>
        <v>1.1694480839436494</v>
      </c>
      <c r="T5" s="24">
        <v>300</v>
      </c>
      <c r="U5" s="43"/>
    </row>
    <row r="6" spans="1:41" ht="14.45" x14ac:dyDescent="0.3">
      <c r="A6" t="s">
        <v>101</v>
      </c>
      <c r="B6" t="s">
        <v>102</v>
      </c>
      <c r="C6" s="13">
        <v>44995</v>
      </c>
      <c r="D6" s="5">
        <v>250000</v>
      </c>
      <c r="E6" t="s">
        <v>23</v>
      </c>
      <c r="F6" t="s">
        <v>24</v>
      </c>
      <c r="G6" s="5">
        <v>250000</v>
      </c>
      <c r="H6" s="5">
        <v>45800</v>
      </c>
      <c r="I6" s="9">
        <f t="shared" si="0"/>
        <v>18.32</v>
      </c>
      <c r="J6" s="5">
        <v>199888</v>
      </c>
      <c r="K6" s="5">
        <f>G6-184248</f>
        <v>65752</v>
      </c>
      <c r="L6" s="5">
        <v>35640</v>
      </c>
      <c r="M6" s="17">
        <v>66</v>
      </c>
      <c r="N6" s="20">
        <v>100</v>
      </c>
      <c r="O6" s="24">
        <v>0.152</v>
      </c>
      <c r="P6" s="24">
        <v>0.152</v>
      </c>
      <c r="Q6" s="5">
        <f t="shared" si="1"/>
        <v>996.24242424242425</v>
      </c>
      <c r="R6" s="5">
        <f t="shared" si="2"/>
        <v>432578.94736842107</v>
      </c>
      <c r="S6" s="28">
        <f t="shared" si="3"/>
        <v>9.9306461746653145</v>
      </c>
      <c r="T6" s="24">
        <v>66</v>
      </c>
      <c r="U6" s="43"/>
    </row>
    <row r="7" spans="1:41" ht="14.45" x14ac:dyDescent="0.3">
      <c r="A7" t="s">
        <v>103</v>
      </c>
      <c r="B7" t="s">
        <v>104</v>
      </c>
      <c r="C7" s="13">
        <v>44943</v>
      </c>
      <c r="D7" s="5">
        <v>120000</v>
      </c>
      <c r="E7" t="s">
        <v>23</v>
      </c>
      <c r="F7" t="s">
        <v>24</v>
      </c>
      <c r="G7" s="5">
        <v>120000</v>
      </c>
      <c r="H7" s="5">
        <v>16700</v>
      </c>
      <c r="I7" s="9">
        <f t="shared" si="0"/>
        <v>13.916666666666666</v>
      </c>
      <c r="J7" s="5">
        <v>102322</v>
      </c>
      <c r="K7" s="5">
        <f>G7-83822</f>
        <v>36178</v>
      </c>
      <c r="L7" s="5">
        <v>18500</v>
      </c>
      <c r="M7" s="17">
        <v>33</v>
      </c>
      <c r="N7" s="20">
        <v>99</v>
      </c>
      <c r="O7" s="24">
        <v>7.4999999999999997E-2</v>
      </c>
      <c r="P7" s="24">
        <v>7.4999999999999997E-2</v>
      </c>
      <c r="Q7" s="5">
        <f t="shared" si="1"/>
        <v>1096.3030303030303</v>
      </c>
      <c r="R7" s="5">
        <f t="shared" si="2"/>
        <v>482373.33333333337</v>
      </c>
      <c r="S7" s="28">
        <f t="shared" si="3"/>
        <v>11.073767982858893</v>
      </c>
      <c r="T7" s="24">
        <v>33</v>
      </c>
      <c r="U7" s="43"/>
    </row>
    <row r="8" spans="1:41" ht="14.45" x14ac:dyDescent="0.3">
      <c r="A8" t="s">
        <v>111</v>
      </c>
      <c r="B8" t="s">
        <v>112</v>
      </c>
      <c r="C8" s="13">
        <v>44896</v>
      </c>
      <c r="D8" s="5">
        <v>375000</v>
      </c>
      <c r="E8" t="s">
        <v>23</v>
      </c>
      <c r="F8" t="s">
        <v>24</v>
      </c>
      <c r="G8" s="5">
        <v>375000</v>
      </c>
      <c r="H8" s="5">
        <v>158000</v>
      </c>
      <c r="I8" s="9">
        <f t="shared" si="0"/>
        <v>42.133333333333333</v>
      </c>
      <c r="J8" s="5">
        <v>353649</v>
      </c>
      <c r="K8" s="5">
        <f>G8-265629</f>
        <v>109371</v>
      </c>
      <c r="L8" s="5">
        <v>88020</v>
      </c>
      <c r="M8" s="17">
        <v>163</v>
      </c>
      <c r="N8" s="20">
        <v>264</v>
      </c>
      <c r="O8" s="24">
        <v>0.98799999999999999</v>
      </c>
      <c r="P8" s="24">
        <v>0.98799999999999999</v>
      </c>
      <c r="Q8" s="5">
        <f t="shared" si="1"/>
        <v>670.98773006134968</v>
      </c>
      <c r="R8" s="5">
        <f t="shared" si="2"/>
        <v>110699.3927125506</v>
      </c>
      <c r="S8" s="28">
        <f t="shared" si="3"/>
        <v>2.5413083726480856</v>
      </c>
      <c r="T8" s="24">
        <v>163</v>
      </c>
      <c r="U8" s="43"/>
    </row>
    <row r="9" spans="1:41" ht="14.45" x14ac:dyDescent="0.3">
      <c r="A9" t="s">
        <v>115</v>
      </c>
      <c r="B9" t="s">
        <v>116</v>
      </c>
      <c r="C9" s="13">
        <v>44860</v>
      </c>
      <c r="D9" s="5">
        <v>425000</v>
      </c>
      <c r="E9" t="s">
        <v>23</v>
      </c>
      <c r="F9" t="s">
        <v>24</v>
      </c>
      <c r="G9" s="5">
        <v>425000</v>
      </c>
      <c r="H9" s="5">
        <v>169600</v>
      </c>
      <c r="I9" s="9">
        <f t="shared" si="0"/>
        <v>39.905882352941177</v>
      </c>
      <c r="J9" s="5">
        <v>403716</v>
      </c>
      <c r="K9" s="5">
        <f>G9-339996</f>
        <v>85004</v>
      </c>
      <c r="L9" s="5">
        <v>63720</v>
      </c>
      <c r="M9" s="17">
        <v>118</v>
      </c>
      <c r="N9" s="20">
        <v>346.51998900000001</v>
      </c>
      <c r="O9" s="24">
        <v>0.93899999999999995</v>
      </c>
      <c r="P9" s="24">
        <v>0.93899999999999995</v>
      </c>
      <c r="Q9" s="5">
        <f t="shared" si="1"/>
        <v>720.37288135593224</v>
      </c>
      <c r="R9" s="5">
        <f t="shared" si="2"/>
        <v>90526.091586794471</v>
      </c>
      <c r="S9" s="28">
        <f t="shared" si="3"/>
        <v>2.0781931034617647</v>
      </c>
      <c r="T9" s="24">
        <v>118</v>
      </c>
      <c r="U9" s="43"/>
    </row>
    <row r="10" spans="1:41" ht="14.45" x14ac:dyDescent="0.3">
      <c r="A10" t="s">
        <v>35</v>
      </c>
      <c r="B10" t="s">
        <v>36</v>
      </c>
      <c r="C10" s="13">
        <v>44729</v>
      </c>
      <c r="D10" s="5">
        <v>180000</v>
      </c>
      <c r="E10" t="s">
        <v>37</v>
      </c>
      <c r="F10" t="s">
        <v>24</v>
      </c>
      <c r="G10" s="5">
        <v>180000</v>
      </c>
      <c r="H10" s="5">
        <v>92800</v>
      </c>
      <c r="I10" s="9">
        <f t="shared" ref="I10:I23" si="4">H10/G10*100</f>
        <v>51.555555555555557</v>
      </c>
      <c r="J10" s="5">
        <v>213532</v>
      </c>
      <c r="K10" s="5">
        <f>G10-99052</f>
        <v>80948</v>
      </c>
      <c r="L10" s="5">
        <v>114480</v>
      </c>
      <c r="M10" s="17">
        <v>212</v>
      </c>
      <c r="N10" s="20">
        <v>758</v>
      </c>
      <c r="O10" s="24">
        <v>4.024</v>
      </c>
      <c r="P10" s="24">
        <v>4.024</v>
      </c>
      <c r="Q10" s="5">
        <f t="shared" ref="Q10:Q23" si="5">K10/M10</f>
        <v>381.83018867924528</v>
      </c>
      <c r="R10" s="5">
        <f t="shared" ref="R10:R23" si="6">K10/O10</f>
        <v>20116.302186878729</v>
      </c>
      <c r="S10" s="28">
        <f t="shared" ref="S10:S23" si="7">K10/O10/43560</f>
        <v>0.46180675360144008</v>
      </c>
      <c r="T10" s="24">
        <v>212</v>
      </c>
      <c r="U10" s="43"/>
    </row>
    <row r="11" spans="1:41" ht="14.45" x14ac:dyDescent="0.3">
      <c r="A11" t="s">
        <v>38</v>
      </c>
      <c r="B11" t="s">
        <v>39</v>
      </c>
      <c r="C11" s="13">
        <v>44697</v>
      </c>
      <c r="D11" s="5">
        <v>220000</v>
      </c>
      <c r="E11" t="s">
        <v>23</v>
      </c>
      <c r="F11" t="s">
        <v>24</v>
      </c>
      <c r="G11" s="5">
        <v>220000</v>
      </c>
      <c r="H11" s="5">
        <v>94800</v>
      </c>
      <c r="I11" s="9">
        <f t="shared" si="4"/>
        <v>43.090909090909093</v>
      </c>
      <c r="J11" s="5">
        <v>267036</v>
      </c>
      <c r="K11" s="5">
        <f>G11-145738</f>
        <v>74262</v>
      </c>
      <c r="L11" s="5">
        <v>121298</v>
      </c>
      <c r="M11" s="17">
        <v>299.5</v>
      </c>
      <c r="N11" s="20">
        <v>400</v>
      </c>
      <c r="O11" s="24">
        <v>3.44</v>
      </c>
      <c r="P11" s="24">
        <v>3.44</v>
      </c>
      <c r="Q11" s="5">
        <f t="shared" si="5"/>
        <v>247.95325542570953</v>
      </c>
      <c r="R11" s="5">
        <f t="shared" si="6"/>
        <v>21587.79069767442</v>
      </c>
      <c r="S11" s="28">
        <f t="shared" si="7"/>
        <v>0.49558748158113913</v>
      </c>
      <c r="T11" s="24">
        <v>299.5</v>
      </c>
      <c r="U11" s="43"/>
    </row>
    <row r="12" spans="1:41" ht="14.45" x14ac:dyDescent="0.3">
      <c r="A12" t="s">
        <v>40</v>
      </c>
      <c r="B12" t="s">
        <v>41</v>
      </c>
      <c r="C12" s="13">
        <v>45219</v>
      </c>
      <c r="D12" s="5">
        <v>165000</v>
      </c>
      <c r="E12" t="s">
        <v>23</v>
      </c>
      <c r="F12" t="s">
        <v>24</v>
      </c>
      <c r="G12" s="5">
        <v>165000</v>
      </c>
      <c r="H12" s="5">
        <v>66500</v>
      </c>
      <c r="I12" s="9">
        <f t="shared" si="4"/>
        <v>40.303030303030305</v>
      </c>
      <c r="J12" s="5">
        <v>143640</v>
      </c>
      <c r="K12" s="58">
        <f>G12-0</f>
        <v>165000</v>
      </c>
      <c r="L12" s="5">
        <v>143640</v>
      </c>
      <c r="M12" s="17">
        <v>266</v>
      </c>
      <c r="N12" s="20">
        <v>577</v>
      </c>
      <c r="O12" s="24">
        <v>3.5230000000000001</v>
      </c>
      <c r="P12" s="24">
        <v>3.7229999999999999</v>
      </c>
      <c r="Q12" s="5">
        <f t="shared" si="5"/>
        <v>620.30075187969919</v>
      </c>
      <c r="R12" s="5">
        <f t="shared" si="6"/>
        <v>46835.083735452739</v>
      </c>
      <c r="S12" s="28">
        <f t="shared" si="7"/>
        <v>1.0751855770305956</v>
      </c>
      <c r="T12" s="24">
        <v>266</v>
      </c>
      <c r="U12" s="43"/>
    </row>
    <row r="13" spans="1:41" ht="14.45" x14ac:dyDescent="0.3">
      <c r="A13" t="s">
        <v>42</v>
      </c>
      <c r="B13" t="s">
        <v>43</v>
      </c>
      <c r="C13" s="13">
        <v>44999</v>
      </c>
      <c r="D13" s="5">
        <v>85000</v>
      </c>
      <c r="E13" t="s">
        <v>23</v>
      </c>
      <c r="F13" t="s">
        <v>24</v>
      </c>
      <c r="G13" s="5">
        <v>85000</v>
      </c>
      <c r="H13" s="5">
        <v>28000</v>
      </c>
      <c r="I13" s="9">
        <f t="shared" si="4"/>
        <v>32.941176470588232</v>
      </c>
      <c r="J13" s="5">
        <v>71820</v>
      </c>
      <c r="K13" s="58">
        <f>G13-30726</f>
        <v>54274</v>
      </c>
      <c r="L13" s="5">
        <v>71820</v>
      </c>
      <c r="M13" s="17">
        <v>266</v>
      </c>
      <c r="N13" s="20">
        <v>577.5</v>
      </c>
      <c r="O13" s="24">
        <v>3.7269999999999999</v>
      </c>
      <c r="P13" s="24">
        <v>3.7269999999999999</v>
      </c>
      <c r="Q13" s="5">
        <f t="shared" si="5"/>
        <v>204.0375939849624</v>
      </c>
      <c r="R13" s="5">
        <f t="shared" si="6"/>
        <v>14562.382613361953</v>
      </c>
      <c r="S13" s="28">
        <f t="shared" si="7"/>
        <v>0.33430630425532493</v>
      </c>
      <c r="T13" s="24">
        <v>266</v>
      </c>
      <c r="U13" s="43"/>
    </row>
    <row r="14" spans="1:41" ht="14.45" x14ac:dyDescent="0.3">
      <c r="A14" t="s">
        <v>75</v>
      </c>
      <c r="B14" t="s">
        <v>76</v>
      </c>
      <c r="C14" s="13">
        <v>45021</v>
      </c>
      <c r="D14" s="5">
        <v>255000</v>
      </c>
      <c r="E14" t="s">
        <v>23</v>
      </c>
      <c r="F14" t="s">
        <v>24</v>
      </c>
      <c r="G14" s="5">
        <v>255000</v>
      </c>
      <c r="H14" s="5">
        <v>124800</v>
      </c>
      <c r="I14" s="9">
        <f t="shared" si="4"/>
        <v>48.941176470588239</v>
      </c>
      <c r="J14" s="5">
        <v>200623</v>
      </c>
      <c r="K14" s="5">
        <f>G14-95323</f>
        <v>159677</v>
      </c>
      <c r="L14" s="5">
        <v>105300</v>
      </c>
      <c r="M14" s="17">
        <v>195</v>
      </c>
      <c r="N14" s="20">
        <v>260</v>
      </c>
      <c r="O14" s="24">
        <v>1.48</v>
      </c>
      <c r="P14" s="24">
        <v>1.48</v>
      </c>
      <c r="Q14" s="5">
        <f t="shared" si="5"/>
        <v>818.8564102564103</v>
      </c>
      <c r="R14" s="5">
        <f t="shared" si="6"/>
        <v>107889.86486486487</v>
      </c>
      <c r="S14" s="28">
        <f t="shared" si="7"/>
        <v>2.4768104881741246</v>
      </c>
      <c r="T14" s="24">
        <v>195</v>
      </c>
      <c r="U14" s="43"/>
    </row>
    <row r="15" spans="1:41" ht="14.45" x14ac:dyDescent="0.3">
      <c r="A15" t="s">
        <v>77</v>
      </c>
      <c r="B15" t="s">
        <v>78</v>
      </c>
      <c r="C15" s="13">
        <v>44673</v>
      </c>
      <c r="D15" s="5">
        <v>170000</v>
      </c>
      <c r="E15" t="s">
        <v>37</v>
      </c>
      <c r="F15" t="s">
        <v>24</v>
      </c>
      <c r="G15" s="5">
        <v>170000</v>
      </c>
      <c r="H15" s="5">
        <v>0</v>
      </c>
      <c r="I15" s="9">
        <f t="shared" si="4"/>
        <v>0</v>
      </c>
      <c r="J15" s="5">
        <v>138132</v>
      </c>
      <c r="K15" s="58">
        <f>G15-0</f>
        <v>170000</v>
      </c>
      <c r="L15" s="5">
        <v>138132</v>
      </c>
      <c r="M15" s="17">
        <v>255.8</v>
      </c>
      <c r="N15" s="20">
        <v>384</v>
      </c>
      <c r="O15" s="24">
        <v>2.548</v>
      </c>
      <c r="P15" s="24">
        <v>2.548</v>
      </c>
      <c r="Q15" s="5">
        <f t="shared" si="5"/>
        <v>664.58170445660664</v>
      </c>
      <c r="R15" s="5">
        <f t="shared" si="6"/>
        <v>66718.99529042386</v>
      </c>
      <c r="S15" s="28">
        <f t="shared" si="7"/>
        <v>1.5316573758132199</v>
      </c>
      <c r="T15" s="24">
        <v>255.8</v>
      </c>
      <c r="U15" s="43"/>
    </row>
    <row r="16" spans="1:41" ht="14.45" x14ac:dyDescent="0.3">
      <c r="A16" t="s">
        <v>79</v>
      </c>
      <c r="B16" t="s">
        <v>80</v>
      </c>
      <c r="C16" s="13">
        <v>45124</v>
      </c>
      <c r="D16" s="5">
        <v>729000</v>
      </c>
      <c r="E16" t="s">
        <v>23</v>
      </c>
      <c r="F16" t="s">
        <v>24</v>
      </c>
      <c r="G16" s="5">
        <v>729000</v>
      </c>
      <c r="H16" s="5">
        <v>254300</v>
      </c>
      <c r="I16" s="9">
        <f t="shared" si="4"/>
        <v>34.883401920438956</v>
      </c>
      <c r="J16" s="5">
        <v>628181</v>
      </c>
      <c r="K16" s="5">
        <f>G16-422981</f>
        <v>306019</v>
      </c>
      <c r="L16" s="5">
        <v>205200</v>
      </c>
      <c r="M16" s="17">
        <v>380</v>
      </c>
      <c r="N16" s="20">
        <v>290</v>
      </c>
      <c r="O16" s="24">
        <v>2.6629999999999998</v>
      </c>
      <c r="P16" s="24">
        <v>2.6</v>
      </c>
      <c r="Q16" s="5">
        <f t="shared" si="5"/>
        <v>805.31315789473683</v>
      </c>
      <c r="R16" s="5">
        <f t="shared" si="6"/>
        <v>114915.13330829891</v>
      </c>
      <c r="S16" s="28">
        <f t="shared" si="7"/>
        <v>2.6380884597864767</v>
      </c>
      <c r="T16" s="24">
        <v>380</v>
      </c>
      <c r="U16" s="43"/>
    </row>
    <row r="17" spans="1:22" ht="14.45" x14ac:dyDescent="0.3">
      <c r="A17" t="s">
        <v>67</v>
      </c>
      <c r="B17" t="s">
        <v>68</v>
      </c>
      <c r="C17" s="13">
        <v>45043</v>
      </c>
      <c r="D17" s="5">
        <v>32000</v>
      </c>
      <c r="E17" t="s">
        <v>23</v>
      </c>
      <c r="F17" t="s">
        <v>24</v>
      </c>
      <c r="G17" s="5">
        <v>32000</v>
      </c>
      <c r="H17" s="5">
        <v>29100</v>
      </c>
      <c r="I17" s="9">
        <f t="shared" si="4"/>
        <v>90.9375</v>
      </c>
      <c r="J17" s="5">
        <v>65340</v>
      </c>
      <c r="K17" s="58">
        <f>G17-15644</f>
        <v>16356</v>
      </c>
      <c r="L17" s="5">
        <v>65340</v>
      </c>
      <c r="M17" s="17">
        <v>242</v>
      </c>
      <c r="N17" s="20">
        <v>217</v>
      </c>
      <c r="O17" s="24">
        <v>1.206</v>
      </c>
      <c r="P17" s="24">
        <v>1.206</v>
      </c>
      <c r="Q17" s="5">
        <f t="shared" si="5"/>
        <v>67.586776859504127</v>
      </c>
      <c r="R17" s="5">
        <f t="shared" si="6"/>
        <v>13562.189054726368</v>
      </c>
      <c r="S17" s="28">
        <f t="shared" si="7"/>
        <v>0.31134501962181743</v>
      </c>
      <c r="T17" s="24">
        <v>242</v>
      </c>
      <c r="U17" s="43"/>
    </row>
    <row r="18" spans="1:22" ht="14.45" x14ac:dyDescent="0.3">
      <c r="A18" t="s">
        <v>83</v>
      </c>
      <c r="B18" t="s">
        <v>84</v>
      </c>
      <c r="C18" s="13">
        <v>44656</v>
      </c>
      <c r="D18" s="5">
        <v>650000</v>
      </c>
      <c r="E18" t="s">
        <v>23</v>
      </c>
      <c r="F18" t="s">
        <v>24</v>
      </c>
      <c r="G18" s="5">
        <v>650000</v>
      </c>
      <c r="H18" s="5">
        <v>346100</v>
      </c>
      <c r="I18" s="9">
        <f t="shared" si="4"/>
        <v>53.246153846153845</v>
      </c>
      <c r="J18" s="5">
        <v>640127</v>
      </c>
      <c r="K18" s="5">
        <f>G18-461927</f>
        <v>188073</v>
      </c>
      <c r="L18" s="5">
        <v>178200</v>
      </c>
      <c r="M18" s="17">
        <v>330</v>
      </c>
      <c r="N18" s="20">
        <v>990</v>
      </c>
      <c r="O18" s="24">
        <v>7.5</v>
      </c>
      <c r="P18" s="24">
        <v>7.5</v>
      </c>
      <c r="Q18" s="5">
        <f t="shared" si="5"/>
        <v>569.91818181818178</v>
      </c>
      <c r="R18" s="5">
        <f t="shared" si="6"/>
        <v>25076.400000000001</v>
      </c>
      <c r="S18" s="28">
        <f t="shared" si="7"/>
        <v>0.57567493112947665</v>
      </c>
      <c r="T18" s="24">
        <v>330</v>
      </c>
      <c r="U18" s="43"/>
    </row>
    <row r="19" spans="1:22" ht="14.45" x14ac:dyDescent="0.3">
      <c r="A19" t="s">
        <v>87</v>
      </c>
      <c r="B19" t="s">
        <v>88</v>
      </c>
      <c r="C19" s="13">
        <v>45078</v>
      </c>
      <c r="D19" s="5">
        <v>670082</v>
      </c>
      <c r="E19" t="s">
        <v>23</v>
      </c>
      <c r="F19" t="s">
        <v>24</v>
      </c>
      <c r="G19" s="5">
        <v>670082</v>
      </c>
      <c r="H19" s="5">
        <v>239200</v>
      </c>
      <c r="I19" s="9">
        <f t="shared" si="4"/>
        <v>35.697123635614744</v>
      </c>
      <c r="J19" s="5">
        <v>440655</v>
      </c>
      <c r="K19" s="5">
        <f>G19-386255</f>
        <v>283827</v>
      </c>
      <c r="L19" s="5">
        <v>194400</v>
      </c>
      <c r="M19" s="17">
        <v>240</v>
      </c>
      <c r="N19" s="20">
        <v>509</v>
      </c>
      <c r="O19" s="24">
        <v>2.8039999999999998</v>
      </c>
      <c r="P19" s="24">
        <v>2.8039999999999998</v>
      </c>
      <c r="Q19" s="5">
        <f t="shared" si="5"/>
        <v>1182.6125</v>
      </c>
      <c r="R19" s="5">
        <f t="shared" si="6"/>
        <v>101222.18259629102</v>
      </c>
      <c r="S19" s="28">
        <f t="shared" si="7"/>
        <v>2.3237415655714191</v>
      </c>
      <c r="T19" s="24">
        <v>240</v>
      </c>
      <c r="U19" s="43"/>
    </row>
    <row r="20" spans="1:22" ht="14.45" x14ac:dyDescent="0.3">
      <c r="A20" t="s">
        <v>308</v>
      </c>
      <c r="B20" t="s">
        <v>309</v>
      </c>
      <c r="C20" s="13">
        <v>44860</v>
      </c>
      <c r="D20" s="5">
        <v>345000</v>
      </c>
      <c r="E20" t="s">
        <v>302</v>
      </c>
      <c r="G20" s="5">
        <v>345000</v>
      </c>
      <c r="H20" s="5">
        <v>99000</v>
      </c>
      <c r="I20" s="9">
        <f t="shared" si="4"/>
        <v>28.695652173913043</v>
      </c>
      <c r="J20" s="5">
        <v>267145</v>
      </c>
      <c r="K20" s="5">
        <f>G20-73637</f>
        <v>271363</v>
      </c>
      <c r="L20" s="5">
        <v>189540</v>
      </c>
      <c r="M20" s="17">
        <v>351</v>
      </c>
      <c r="N20" s="20">
        <v>570</v>
      </c>
      <c r="O20" s="24"/>
      <c r="P20" s="24"/>
      <c r="Q20" s="5">
        <f t="shared" si="5"/>
        <v>773.11396011396016</v>
      </c>
      <c r="R20" s="5"/>
      <c r="S20" s="28"/>
      <c r="T20" s="24"/>
      <c r="U20" s="43"/>
    </row>
    <row r="21" spans="1:22" ht="14.45" x14ac:dyDescent="0.3">
      <c r="A21" t="s">
        <v>304</v>
      </c>
      <c r="B21" t="s">
        <v>305</v>
      </c>
      <c r="C21" s="13">
        <v>45352</v>
      </c>
      <c r="D21" s="5">
        <v>671500</v>
      </c>
      <c r="E21" t="s">
        <v>302</v>
      </c>
      <c r="G21" s="5">
        <v>671500</v>
      </c>
      <c r="H21" s="5">
        <v>280400</v>
      </c>
      <c r="I21" s="9">
        <f t="shared" si="4"/>
        <v>41.757259865971704</v>
      </c>
      <c r="J21" s="5">
        <v>705823</v>
      </c>
      <c r="K21" s="5">
        <f>G21-519504</f>
        <v>151996</v>
      </c>
      <c r="L21" s="5">
        <v>186300</v>
      </c>
      <c r="M21" s="17">
        <v>208</v>
      </c>
      <c r="N21" s="20"/>
      <c r="O21" s="24"/>
      <c r="P21" s="24"/>
      <c r="Q21" s="5">
        <f t="shared" si="5"/>
        <v>730.75</v>
      </c>
      <c r="R21" s="5"/>
      <c r="S21" s="28"/>
      <c r="T21" s="24"/>
      <c r="U21" s="43"/>
    </row>
    <row r="22" spans="1:22" s="60" customFormat="1" ht="39.75" customHeight="1" x14ac:dyDescent="0.3">
      <c r="A22" s="60" t="s">
        <v>89</v>
      </c>
      <c r="B22" s="60" t="s">
        <v>90</v>
      </c>
      <c r="C22" s="61">
        <v>45090</v>
      </c>
      <c r="D22" s="58">
        <v>105000</v>
      </c>
      <c r="E22" s="60" t="s">
        <v>23</v>
      </c>
      <c r="F22" s="60" t="s">
        <v>24</v>
      </c>
      <c r="G22" s="58">
        <v>105000</v>
      </c>
      <c r="H22" s="58">
        <v>74500</v>
      </c>
      <c r="I22" s="62">
        <f t="shared" si="4"/>
        <v>70.952380952380949</v>
      </c>
      <c r="J22" s="58">
        <v>118951</v>
      </c>
      <c r="K22" s="58">
        <f>G22-0</f>
        <v>105000</v>
      </c>
      <c r="L22" s="58">
        <v>118951</v>
      </c>
      <c r="M22" s="63">
        <v>220</v>
      </c>
      <c r="N22" s="64">
        <v>0</v>
      </c>
      <c r="O22" s="65">
        <v>2.2029999999999998</v>
      </c>
      <c r="P22" s="65">
        <v>2.2029999999999998</v>
      </c>
      <c r="Q22" s="58">
        <f t="shared" si="5"/>
        <v>477.27272727272725</v>
      </c>
      <c r="R22" s="58">
        <f t="shared" si="6"/>
        <v>47662.278710848848</v>
      </c>
      <c r="S22" s="66">
        <f t="shared" si="7"/>
        <v>1.0941753606714613</v>
      </c>
      <c r="T22" s="65">
        <v>0</v>
      </c>
      <c r="U22" s="67"/>
      <c r="V22" s="67" t="s">
        <v>288</v>
      </c>
    </row>
    <row r="23" spans="1:22" ht="14.45" x14ac:dyDescent="0.3">
      <c r="A23" t="s">
        <v>91</v>
      </c>
      <c r="B23" t="s">
        <v>92</v>
      </c>
      <c r="C23" s="13">
        <v>44775</v>
      </c>
      <c r="D23" s="5">
        <v>100000</v>
      </c>
      <c r="E23" t="s">
        <v>23</v>
      </c>
      <c r="F23" t="s">
        <v>24</v>
      </c>
      <c r="G23" s="5">
        <v>100000</v>
      </c>
      <c r="H23" s="5">
        <v>0</v>
      </c>
      <c r="I23" s="9">
        <f t="shared" si="4"/>
        <v>0</v>
      </c>
      <c r="J23" s="5">
        <v>91800</v>
      </c>
      <c r="K23" s="58">
        <f>G23-24733</f>
        <v>75267</v>
      </c>
      <c r="L23" s="5">
        <v>91800</v>
      </c>
      <c r="M23" s="17">
        <v>170</v>
      </c>
      <c r="N23" s="20">
        <v>160</v>
      </c>
      <c r="O23" s="24">
        <v>0.81899999999999995</v>
      </c>
      <c r="P23" s="24">
        <v>0.81899999999999995</v>
      </c>
      <c r="Q23" s="5">
        <f t="shared" si="5"/>
        <v>442.74705882352941</v>
      </c>
      <c r="R23" s="5">
        <f t="shared" si="6"/>
        <v>91901.0989010989</v>
      </c>
      <c r="S23" s="28">
        <f t="shared" si="7"/>
        <v>2.1097589279407463</v>
      </c>
      <c r="T23" s="24">
        <v>170</v>
      </c>
      <c r="U23" s="43"/>
      <c r="V23" t="s">
        <v>288</v>
      </c>
    </row>
    <row r="24" spans="1:22" ht="14.45" x14ac:dyDescent="0.3">
      <c r="K24" s="5">
        <f>SUM(K2:K23)</f>
        <v>2992096</v>
      </c>
      <c r="M24" s="17">
        <f>SUM(M2:M23)</f>
        <v>5012.3</v>
      </c>
    </row>
    <row r="26" spans="1:22" ht="14.45" x14ac:dyDescent="0.3">
      <c r="L26" s="34" t="s">
        <v>297</v>
      </c>
      <c r="M26" s="34"/>
      <c r="N26" s="59">
        <f>K24/M24</f>
        <v>596.95070127486383</v>
      </c>
      <c r="O26" s="34" t="s">
        <v>310</v>
      </c>
      <c r="P26" s="34"/>
      <c r="R26" t="s">
        <v>298</v>
      </c>
    </row>
    <row r="28" spans="1:22" ht="43.15" x14ac:dyDescent="0.3">
      <c r="A28" t="s">
        <v>105</v>
      </c>
      <c r="B28" t="s">
        <v>106</v>
      </c>
      <c r="C28" s="13">
        <v>44844</v>
      </c>
      <c r="D28" s="5">
        <v>700000</v>
      </c>
      <c r="E28" t="s">
        <v>37</v>
      </c>
      <c r="F28" t="s">
        <v>58</v>
      </c>
      <c r="G28" s="5">
        <v>650000</v>
      </c>
      <c r="H28" s="5">
        <v>61400</v>
      </c>
      <c r="I28" s="9">
        <f t="shared" ref="I28" si="8">H28/G28*100</f>
        <v>9.4461538461538463</v>
      </c>
      <c r="J28" s="5">
        <v>158071</v>
      </c>
      <c r="K28" s="5">
        <f>G28-82571</f>
        <v>567429</v>
      </c>
      <c r="L28" s="5">
        <v>75500</v>
      </c>
      <c r="M28" s="17">
        <v>151</v>
      </c>
      <c r="N28" s="20">
        <v>379</v>
      </c>
      <c r="O28" s="24">
        <v>0.71799999999999997</v>
      </c>
      <c r="P28" s="24">
        <v>0.21</v>
      </c>
      <c r="Q28" s="5">
        <f t="shared" ref="Q28" si="9">K28/M28</f>
        <v>3757.8079470198677</v>
      </c>
      <c r="R28" s="5">
        <f t="shared" ref="R28" si="10">K28/O28</f>
        <v>790291.08635097498</v>
      </c>
      <c r="S28" s="28">
        <f t="shared" ref="S28" si="11">K28/O28/43560</f>
        <v>18.142586922657827</v>
      </c>
      <c r="T28" s="24">
        <v>151</v>
      </c>
      <c r="U28" s="43" t="s">
        <v>107</v>
      </c>
      <c r="V28" s="43" t="s">
        <v>299</v>
      </c>
    </row>
    <row r="29" spans="1:22" ht="45" x14ac:dyDescent="0.25">
      <c r="A29" t="s">
        <v>133</v>
      </c>
      <c r="B29" t="s">
        <v>134</v>
      </c>
      <c r="C29" s="13">
        <v>45002</v>
      </c>
      <c r="D29" s="5">
        <v>125000</v>
      </c>
      <c r="E29" t="s">
        <v>23</v>
      </c>
      <c r="F29" t="s">
        <v>24</v>
      </c>
      <c r="G29" s="5">
        <v>125000</v>
      </c>
      <c r="H29" s="5">
        <v>70500</v>
      </c>
      <c r="I29" s="9">
        <f>H29/G29*100</f>
        <v>56.399999999999991</v>
      </c>
      <c r="J29" s="5">
        <v>152613</v>
      </c>
      <c r="K29" s="5">
        <f>G29-115073</f>
        <v>9927</v>
      </c>
      <c r="L29" s="5">
        <v>37540</v>
      </c>
      <c r="M29" s="17">
        <v>54</v>
      </c>
      <c r="N29" s="20">
        <v>280</v>
      </c>
      <c r="O29" s="24">
        <v>0.27400000000000002</v>
      </c>
      <c r="P29" s="24">
        <v>7.0999999999999994E-2</v>
      </c>
      <c r="Q29" s="5">
        <f>K29/M29</f>
        <v>183.83333333333334</v>
      </c>
      <c r="R29" s="5">
        <f>K29/O29</f>
        <v>36229.927007299266</v>
      </c>
      <c r="S29" s="28">
        <f>K29/O29/43560</f>
        <v>0.83172467877179213</v>
      </c>
      <c r="T29" s="24">
        <v>54</v>
      </c>
      <c r="U29" s="43" t="s">
        <v>135</v>
      </c>
      <c r="V29" s="43" t="s">
        <v>299</v>
      </c>
    </row>
    <row r="30" spans="1:22" ht="45" x14ac:dyDescent="0.25">
      <c r="A30" t="s">
        <v>72</v>
      </c>
      <c r="B30" t="s">
        <v>73</v>
      </c>
      <c r="C30" s="13">
        <v>44742</v>
      </c>
      <c r="D30" s="5">
        <v>400000</v>
      </c>
      <c r="E30" t="s">
        <v>23</v>
      </c>
      <c r="F30" t="s">
        <v>58</v>
      </c>
      <c r="G30" s="5">
        <v>400000</v>
      </c>
      <c r="H30" s="5">
        <v>222800</v>
      </c>
      <c r="I30" s="9">
        <f>H30/G30*100</f>
        <v>55.7</v>
      </c>
      <c r="J30" s="5">
        <v>503367</v>
      </c>
      <c r="K30" s="5">
        <f>G30-236927</f>
        <v>163073</v>
      </c>
      <c r="L30" s="5">
        <v>266440</v>
      </c>
      <c r="M30" s="17">
        <v>206</v>
      </c>
      <c r="N30" s="20">
        <v>370</v>
      </c>
      <c r="O30" s="24">
        <v>19.91</v>
      </c>
      <c r="P30" s="24">
        <v>18.16</v>
      </c>
      <c r="Q30" s="5">
        <f>K30/M30</f>
        <v>791.61650485436894</v>
      </c>
      <c r="R30" s="5">
        <f>K30/O30</f>
        <v>8190.5072827724762</v>
      </c>
      <c r="S30" s="28">
        <f>K30/O30/43560</f>
        <v>0.18802817453563994</v>
      </c>
      <c r="T30" s="24">
        <v>206</v>
      </c>
      <c r="U30" s="43" t="s">
        <v>74</v>
      </c>
      <c r="V30" s="43" t="s">
        <v>299</v>
      </c>
    </row>
    <row r="31" spans="1:22" ht="60" x14ac:dyDescent="0.25">
      <c r="A31" t="s">
        <v>64</v>
      </c>
      <c r="B31" t="s">
        <v>65</v>
      </c>
      <c r="C31" s="13">
        <v>45343</v>
      </c>
      <c r="D31" s="5">
        <v>400000</v>
      </c>
      <c r="E31" t="s">
        <v>23</v>
      </c>
      <c r="F31" t="s">
        <v>58</v>
      </c>
      <c r="G31" s="5">
        <v>400000</v>
      </c>
      <c r="H31" s="5">
        <v>189300</v>
      </c>
      <c r="I31" s="9">
        <f>H31/G31*100</f>
        <v>47.325000000000003</v>
      </c>
      <c r="J31" s="5">
        <v>352471</v>
      </c>
      <c r="K31" s="5">
        <f>G31-99471</f>
        <v>300529</v>
      </c>
      <c r="L31" s="5">
        <v>253000</v>
      </c>
      <c r="M31" s="17">
        <v>650</v>
      </c>
      <c r="N31" s="20">
        <v>1485</v>
      </c>
      <c r="O31" s="24">
        <v>8.4120000000000008</v>
      </c>
      <c r="P31" s="24">
        <v>0.47099999999999997</v>
      </c>
      <c r="Q31" s="5">
        <f>K31/M31</f>
        <v>462.3523076923077</v>
      </c>
      <c r="R31" s="5">
        <f>K31/O31</f>
        <v>35726.224441274368</v>
      </c>
      <c r="S31" s="28">
        <f>K31/O31/43560</f>
        <v>0.82016125898242354</v>
      </c>
      <c r="T31" s="24">
        <v>650</v>
      </c>
      <c r="U31" s="43" t="s">
        <v>66</v>
      </c>
      <c r="V31" s="43" t="s">
        <v>299</v>
      </c>
    </row>
    <row r="32" spans="1:22" ht="45.75" customHeight="1" x14ac:dyDescent="0.25">
      <c r="A32" t="s">
        <v>131</v>
      </c>
      <c r="B32" t="s">
        <v>132</v>
      </c>
      <c r="C32" s="13">
        <v>45316</v>
      </c>
      <c r="D32" s="5">
        <v>1300000</v>
      </c>
      <c r="E32" t="s">
        <v>23</v>
      </c>
      <c r="F32" t="s">
        <v>24</v>
      </c>
      <c r="G32" s="5">
        <v>1300000</v>
      </c>
      <c r="H32" s="5">
        <v>276000</v>
      </c>
      <c r="I32" s="9">
        <f>H32/G32*100</f>
        <v>21.23076923076923</v>
      </c>
      <c r="J32" s="5">
        <v>558481</v>
      </c>
      <c r="K32" s="5">
        <f>G32-495841</f>
        <v>804159</v>
      </c>
      <c r="L32" s="5">
        <v>62640</v>
      </c>
      <c r="M32" s="17">
        <v>288</v>
      </c>
      <c r="N32" s="20">
        <v>0</v>
      </c>
      <c r="O32" s="24">
        <v>5.8</v>
      </c>
      <c r="P32" s="24">
        <v>5.8</v>
      </c>
      <c r="Q32" s="5">
        <f>K32/M32</f>
        <v>2792.21875</v>
      </c>
      <c r="R32" s="5">
        <f>K32/O32</f>
        <v>138648.10344827586</v>
      </c>
      <c r="S32" s="28">
        <f>K32/O32/43560</f>
        <v>3.1829224850384725</v>
      </c>
      <c r="T32" s="24">
        <v>0</v>
      </c>
      <c r="U32" s="43" t="s">
        <v>300</v>
      </c>
    </row>
    <row r="33" spans="1:21" ht="38.25" customHeight="1" x14ac:dyDescent="0.25">
      <c r="A33" t="s">
        <v>99</v>
      </c>
      <c r="B33" t="s">
        <v>100</v>
      </c>
      <c r="C33" s="13">
        <v>44686</v>
      </c>
      <c r="D33" s="5">
        <v>125000</v>
      </c>
      <c r="E33" t="s">
        <v>23</v>
      </c>
      <c r="F33" t="s">
        <v>24</v>
      </c>
      <c r="G33" s="5">
        <v>125000</v>
      </c>
      <c r="H33" s="5">
        <v>16700</v>
      </c>
      <c r="I33" s="9">
        <f t="shared" ref="I33:I34" si="12">H33/G33*100</f>
        <v>13.36</v>
      </c>
      <c r="J33" s="5">
        <v>95033</v>
      </c>
      <c r="K33" s="5">
        <f>G33-86533</f>
        <v>38467</v>
      </c>
      <c r="L33" s="5">
        <v>18500</v>
      </c>
      <c r="M33" s="17">
        <v>19</v>
      </c>
      <c r="N33" s="20">
        <v>66</v>
      </c>
      <c r="O33" s="24">
        <v>5.8999999999999997E-2</v>
      </c>
      <c r="P33" s="24">
        <v>2.9000000000000001E-2</v>
      </c>
      <c r="Q33" s="5">
        <f t="shared" ref="Q33:Q34" si="13">K33/M33</f>
        <v>2024.578947368421</v>
      </c>
      <c r="R33" s="5">
        <f t="shared" ref="R33" si="14">K33/O33</f>
        <v>651983.05084745761</v>
      </c>
      <c r="S33" s="28">
        <f t="shared" ref="S33" si="15">K33/O33/43560</f>
        <v>14.967471323403526</v>
      </c>
      <c r="T33" s="24">
        <v>19</v>
      </c>
      <c r="U33" s="43" t="s">
        <v>301</v>
      </c>
    </row>
    <row r="34" spans="1:21" ht="45" x14ac:dyDescent="0.25">
      <c r="A34" t="s">
        <v>306</v>
      </c>
      <c r="B34" t="s">
        <v>307</v>
      </c>
      <c r="C34" s="13">
        <v>45224</v>
      </c>
      <c r="D34" s="5">
        <v>425000</v>
      </c>
      <c r="E34" t="s">
        <v>302</v>
      </c>
      <c r="G34" s="5">
        <v>425000</v>
      </c>
      <c r="H34" s="5">
        <v>54700</v>
      </c>
      <c r="I34" s="9">
        <f t="shared" si="12"/>
        <v>12.870588235294116</v>
      </c>
      <c r="J34" s="5">
        <v>830707</v>
      </c>
      <c r="K34" s="5">
        <f>G34-727513</f>
        <v>-302513</v>
      </c>
      <c r="L34" s="5"/>
      <c r="M34" s="17">
        <v>161</v>
      </c>
      <c r="N34" s="20"/>
      <c r="O34" s="24"/>
      <c r="P34" s="24"/>
      <c r="Q34" s="5">
        <f t="shared" si="13"/>
        <v>-1878.9627329192547</v>
      </c>
      <c r="R34" s="5"/>
      <c r="S34" s="28"/>
      <c r="T34" s="24"/>
      <c r="U34" s="43" t="s">
        <v>300</v>
      </c>
    </row>
  </sheetData>
  <conditionalFormatting sqref="A3:U9 A14:U21">
    <cfRule type="expression" dxfId="23" priority="29" stopIfTrue="1">
      <formula>MOD(ROW(),4)&gt;1</formula>
    </cfRule>
    <cfRule type="expression" dxfId="22" priority="30" stopIfTrue="1">
      <formula>MOD(ROW(),4)&lt;2</formula>
    </cfRule>
  </conditionalFormatting>
  <conditionalFormatting sqref="A2:U2">
    <cfRule type="expression" dxfId="21" priority="27" stopIfTrue="1">
      <formula>MOD(ROW(),4)&gt;1</formula>
    </cfRule>
    <cfRule type="expression" dxfId="20" priority="28" stopIfTrue="1">
      <formula>MOD(ROW(),4)&lt;2</formula>
    </cfRule>
  </conditionalFormatting>
  <conditionalFormatting sqref="A10:U11">
    <cfRule type="expression" dxfId="19" priority="25" stopIfTrue="1">
      <formula>MOD(ROW(),4)&gt;1</formula>
    </cfRule>
    <cfRule type="expression" dxfId="18" priority="26" stopIfTrue="1">
      <formula>MOD(ROW(),4)&lt;2</formula>
    </cfRule>
  </conditionalFormatting>
  <conditionalFormatting sqref="A12:U13">
    <cfRule type="expression" dxfId="17" priority="23" stopIfTrue="1">
      <formula>MOD(ROW(),4)&gt;1</formula>
    </cfRule>
    <cfRule type="expression" dxfId="16" priority="24" stopIfTrue="1">
      <formula>MOD(ROW(),4)&lt;2</formula>
    </cfRule>
  </conditionalFormatting>
  <conditionalFormatting sqref="A28:U28">
    <cfRule type="expression" dxfId="15" priority="17" stopIfTrue="1">
      <formula>MOD(ROW(),4)&gt;1</formula>
    </cfRule>
    <cfRule type="expression" dxfId="14" priority="18" stopIfTrue="1">
      <formula>MOD(ROW(),4)&lt;2</formula>
    </cfRule>
  </conditionalFormatting>
  <conditionalFormatting sqref="A29:U29">
    <cfRule type="expression" dxfId="13" priority="15" stopIfTrue="1">
      <formula>MOD(ROW(),4)&gt;1</formula>
    </cfRule>
    <cfRule type="expression" dxfId="12" priority="16" stopIfTrue="1">
      <formula>MOD(ROW(),4)&lt;2</formula>
    </cfRule>
  </conditionalFormatting>
  <conditionalFormatting sqref="A30:U30">
    <cfRule type="expression" dxfId="11" priority="13" stopIfTrue="1">
      <formula>MOD(ROW(),4)&gt;1</formula>
    </cfRule>
    <cfRule type="expression" dxfId="10" priority="14" stopIfTrue="1">
      <formula>MOD(ROW(),4)&lt;2</formula>
    </cfRule>
  </conditionalFormatting>
  <conditionalFormatting sqref="A31:U31">
    <cfRule type="expression" dxfId="9" priority="11" stopIfTrue="1">
      <formula>MOD(ROW(),4)&gt;1</formula>
    </cfRule>
    <cfRule type="expression" dxfId="8" priority="12" stopIfTrue="1">
      <formula>MOD(ROW(),4)&lt;2</formula>
    </cfRule>
  </conditionalFormatting>
  <conditionalFormatting sqref="A32:U32">
    <cfRule type="expression" dxfId="7" priority="9" stopIfTrue="1">
      <formula>MOD(ROW(),4)&gt;1</formula>
    </cfRule>
    <cfRule type="expression" dxfId="6" priority="10" stopIfTrue="1">
      <formula>MOD(ROW(),4)&lt;2</formula>
    </cfRule>
  </conditionalFormatting>
  <conditionalFormatting sqref="A22:U23">
    <cfRule type="expression" dxfId="5" priority="7" stopIfTrue="1">
      <formula>MOD(ROW(),4)&gt;1</formula>
    </cfRule>
    <cfRule type="expression" dxfId="4" priority="8" stopIfTrue="1">
      <formula>MOD(ROW(),4)&lt;2</formula>
    </cfRule>
  </conditionalFormatting>
  <conditionalFormatting sqref="A33:U33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34:U3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2" right="0.2" top="0.75" bottom="0.75" header="0.3" footer="0.3"/>
  <pageSetup paperSize="5" scale="70" orientation="landscape" r:id="rId1"/>
  <headerFooter>
    <oddHeader>&amp;C2024-2025 COMMERCIAL
LAND ANALYSIS
DEERFIELD-MAYFIELD-LAPEER TWP-METAMORA-DRYDEN-ALMONT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Land Analysis</vt:lpstr>
      <vt:lpstr>LAPEER CITY</vt:lpstr>
      <vt:lpstr>IMLAY CITY</vt:lpstr>
      <vt:lpstr>ALL OTHER TWPS</vt:lpstr>
      <vt:lpstr>DEER-MAY-LAPEER-MET-DRY=ALM</vt:lpstr>
      <vt:lpstr>'ALL OTHER TWPS'!Print_Area</vt:lpstr>
      <vt:lpstr>'IMLAY CITY'!Print_Area</vt:lpstr>
      <vt:lpstr>'Land Analysis'!Print_Area</vt:lpstr>
      <vt:lpstr>'LAPEER CITY'!Print_Area</vt:lpstr>
      <vt:lpstr>'Land Analysis'!Print_Titles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Griffin</dc:creator>
  <cp:lastModifiedBy>Elba Assessor</cp:lastModifiedBy>
  <cp:lastPrinted>2024-07-10T17:07:51Z</cp:lastPrinted>
  <dcterms:created xsi:type="dcterms:W3CDTF">2024-06-26T16:44:48Z</dcterms:created>
  <dcterms:modified xsi:type="dcterms:W3CDTF">2025-01-31T19:07:56Z</dcterms:modified>
</cp:coreProperties>
</file>